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6"/>
  <workbookPr/>
  <mc:AlternateContent xmlns:mc="http://schemas.openxmlformats.org/markup-compatibility/2006">
    <mc:Choice Requires="x15">
      <x15ac:absPath xmlns:x15ac="http://schemas.microsoft.com/office/spreadsheetml/2010/11/ac" url="/Users/assetplan/Documents/Claude/Projects/Cotizador Manual SH/"/>
    </mc:Choice>
  </mc:AlternateContent>
  <xr:revisionPtr revIDLastSave="0" documentId="13_ncr:1_{78F21E7D-6E8D-5F4E-901F-4EA8F066CF42}" xr6:coauthVersionLast="47" xr6:coauthVersionMax="47" xr10:uidLastSave="{00000000-0000-0000-0000-000000000000}"/>
  <bookViews>
    <workbookView xWindow="29400" yWindow="500" windowWidth="38400" windowHeight="21100" tabRatio="500" activeTab="1" xr2:uid="{00000000-000D-0000-FFFF-FFFF00000000}"/>
  </bookViews>
  <sheets>
    <sheet name="RESUMEN COTIZACIÓN" sheetId="1" r:id="rId1"/>
    <sheet name="Menú por Categoría" sheetId="2" r:id="rId2"/>
    <sheet name="Lista Cliente TOP todos prod." sheetId="3" r:id="rId3"/>
    <sheet name="PVC Conduit y Libre Halógeno" sheetId="4" r:id="rId4"/>
    <sheet name="PPRCT" sheetId="5" r:id="rId5"/>
    <sheet name="PPR" sheetId="6" r:id="rId6"/>
    <sheet name="Adhes. Lubric Teflón" sheetId="7" r:id="rId7"/>
    <sheet name="PVC Sanit Gris" sheetId="8" r:id="rId8"/>
    <sheet name="PVC Gris Oscuro No Certif." sheetId="9" r:id="rId9"/>
    <sheet name="PVC Colector" sheetId="10" r:id="rId10"/>
    <sheet name="PVC Sanit Blanco" sheetId="11" r:id="rId11"/>
    <sheet name="PVC Presión" sheetId="12" r:id="rId12"/>
    <sheet name="Inst. Baño y Cocina" sheetId="13" r:id="rId13"/>
    <sheet name="Canaletas Techo" sheetId="14" r:id="rId14"/>
    <sheet name="Riego" sheetId="15" r:id="rId15"/>
    <sheet name="Mangueras" sheetId="16" r:id="rId16"/>
    <sheet name="Bombas" sheetId="17" r:id="rId17"/>
    <sheet name="_Datos" sheetId="18" state="hidden" r:id="rId18"/>
  </sheets>
  <definedNames>
    <definedName name="_xlnm._FilterDatabase" localSheetId="5" hidden="1">PPR!$A$2:$I$2</definedName>
    <definedName name="ACUERDOS" localSheetId="6">#REF!</definedName>
    <definedName name="ACUERDOS" localSheetId="16">#REF!</definedName>
    <definedName name="ACUERDOS" localSheetId="13">#REF!</definedName>
    <definedName name="ACUERDOS" localSheetId="12">#REF!</definedName>
    <definedName name="ACUERDOS" localSheetId="2">#REF!</definedName>
    <definedName name="ACUERDOS" localSheetId="15">#REF!</definedName>
    <definedName name="ACUERDOS" localSheetId="5">#REF!</definedName>
    <definedName name="ACUERDOS" localSheetId="4">#REF!</definedName>
    <definedName name="ACUERDOS" localSheetId="9">#REF!</definedName>
    <definedName name="ACUERDOS" localSheetId="3">#REF!</definedName>
    <definedName name="ACUERDOS" localSheetId="8">#REF!</definedName>
    <definedName name="ACUERDOS" localSheetId="11">#REF!</definedName>
    <definedName name="ACUERDOS" localSheetId="10">#REF!</definedName>
    <definedName name="ACUERDOS" localSheetId="7">#REF!</definedName>
    <definedName name="ACUERDOS" localSheetId="14">#REF!</definedName>
    <definedName name="ACUERDOS">#REF!</definedName>
    <definedName name="AFC" localSheetId="6">#REF!</definedName>
    <definedName name="AFC" localSheetId="16">#REF!</definedName>
    <definedName name="AFC" localSheetId="13">#REF!</definedName>
    <definedName name="AFC" localSheetId="12">#REF!</definedName>
    <definedName name="AFC" localSheetId="2">#REF!</definedName>
    <definedName name="AFC" localSheetId="15">#REF!</definedName>
    <definedName name="AFC" localSheetId="5">#REF!</definedName>
    <definedName name="AFC" localSheetId="4">#REF!</definedName>
    <definedName name="AFC" localSheetId="9">#REF!</definedName>
    <definedName name="AFC" localSheetId="3">#REF!</definedName>
    <definedName name="AFC" localSheetId="8">#REF!</definedName>
    <definedName name="AFC" localSheetId="11">#REF!</definedName>
    <definedName name="AFC" localSheetId="10">#REF!</definedName>
    <definedName name="AFC" localSheetId="7">#REF!</definedName>
    <definedName name="AFC" localSheetId="14">#REF!</definedName>
    <definedName name="AFC">#REF!</definedName>
    <definedName name="AFP" localSheetId="6">#REF!</definedName>
    <definedName name="AFP" localSheetId="16">#REF!</definedName>
    <definedName name="AFP" localSheetId="13">#REF!</definedName>
    <definedName name="AFP" localSheetId="12">#REF!</definedName>
    <definedName name="AFP" localSheetId="2">#REF!</definedName>
    <definedName name="AFP" localSheetId="15">#REF!</definedName>
    <definedName name="AFP" localSheetId="5">#REF!</definedName>
    <definedName name="AFP" localSheetId="4">#REF!</definedName>
    <definedName name="AFP" localSheetId="9">#REF!</definedName>
    <definedName name="AFP" localSheetId="3">#REF!</definedName>
    <definedName name="AFP" localSheetId="8">#REF!</definedName>
    <definedName name="AFP" localSheetId="11">#REF!</definedName>
    <definedName name="AFP" localSheetId="10">#REF!</definedName>
    <definedName name="AFP" localSheetId="7">#REF!</definedName>
    <definedName name="AFP" localSheetId="14">#REF!</definedName>
    <definedName name="AFP">#REF!</definedName>
    <definedName name="años" localSheetId="6">#REF!</definedName>
    <definedName name="años" localSheetId="16">#REF!</definedName>
    <definedName name="años" localSheetId="13">#REF!</definedName>
    <definedName name="años" localSheetId="12">#REF!</definedName>
    <definedName name="años" localSheetId="2">#REF!</definedName>
    <definedName name="años" localSheetId="15">#REF!</definedName>
    <definedName name="años" localSheetId="5">#REF!</definedName>
    <definedName name="años" localSheetId="4">#REF!</definedName>
    <definedName name="años" localSheetId="9">#REF!</definedName>
    <definedName name="años" localSheetId="3">#REF!</definedName>
    <definedName name="años" localSheetId="8">#REF!</definedName>
    <definedName name="años" localSheetId="11">#REF!</definedName>
    <definedName name="años" localSheetId="10">#REF!</definedName>
    <definedName name="años" localSheetId="7">#REF!</definedName>
    <definedName name="años" localSheetId="14">#REF!</definedName>
    <definedName name="años">#REF!</definedName>
    <definedName name="ARRIMO" localSheetId="6">#REF!</definedName>
    <definedName name="ARRIMO" localSheetId="16">#REF!</definedName>
    <definedName name="ARRIMO" localSheetId="13">#REF!</definedName>
    <definedName name="ARRIMO" localSheetId="12">#REF!</definedName>
    <definedName name="ARRIMO" localSheetId="2">#REF!</definedName>
    <definedName name="ARRIMO" localSheetId="15">#REF!</definedName>
    <definedName name="ARRIMO" localSheetId="5">#REF!</definedName>
    <definedName name="ARRIMO" localSheetId="4">#REF!</definedName>
    <definedName name="ARRIMO" localSheetId="9">#REF!</definedName>
    <definedName name="ARRIMO" localSheetId="3">#REF!</definedName>
    <definedName name="ARRIMO" localSheetId="8">#REF!</definedName>
    <definedName name="ARRIMO" localSheetId="11">#REF!</definedName>
    <definedName name="ARRIMO" localSheetId="10">#REF!</definedName>
    <definedName name="ARRIMO" localSheetId="7">#REF!</definedName>
    <definedName name="ARRIMO" localSheetId="14">#REF!</definedName>
    <definedName name="ARRIMO">#REF!</definedName>
    <definedName name="base" localSheetId="6">#REF!</definedName>
    <definedName name="base" localSheetId="16">#REF!</definedName>
    <definedName name="base" localSheetId="13">#REF!</definedName>
    <definedName name="base" localSheetId="12">#REF!</definedName>
    <definedName name="base" localSheetId="2">#REF!</definedName>
    <definedName name="base" localSheetId="15">#REF!</definedName>
    <definedName name="base" localSheetId="5">#REF!</definedName>
    <definedName name="base" localSheetId="4">#REF!</definedName>
    <definedName name="base" localSheetId="9">#REF!</definedName>
    <definedName name="base" localSheetId="3">#REF!</definedName>
    <definedName name="base" localSheetId="8">#REF!</definedName>
    <definedName name="base" localSheetId="11">#REF!</definedName>
    <definedName name="base" localSheetId="10">#REF!</definedName>
    <definedName name="base" localSheetId="7">#REF!</definedName>
    <definedName name="base" localSheetId="14">#REF!</definedName>
    <definedName name="base">#REF!</definedName>
    <definedName name="BaseProd" localSheetId="6">#REF!</definedName>
    <definedName name="BaseProd" localSheetId="16">#REF!</definedName>
    <definedName name="BaseProd" localSheetId="13">#REF!</definedName>
    <definedName name="BaseProd" localSheetId="12">#REF!</definedName>
    <definedName name="BaseProd" localSheetId="2">#REF!</definedName>
    <definedName name="BaseProd" localSheetId="15">#REF!</definedName>
    <definedName name="BaseProd" localSheetId="5">#REF!</definedName>
    <definedName name="BaseProd" localSheetId="4">#REF!</definedName>
    <definedName name="BaseProd" localSheetId="9">#REF!</definedName>
    <definedName name="BaseProd" localSheetId="3">#REF!</definedName>
    <definedName name="BaseProd" localSheetId="8">#REF!</definedName>
    <definedName name="BaseProd" localSheetId="11">#REF!</definedName>
    <definedName name="BaseProd" localSheetId="10">#REF!</definedName>
    <definedName name="BaseProd" localSheetId="7">#REF!</definedName>
    <definedName name="BaseProd" localSheetId="14">#REF!</definedName>
    <definedName name="BaseProd">#REF!</definedName>
    <definedName name="BBBDD" localSheetId="6">#REF!</definedName>
    <definedName name="BBBDD" localSheetId="16">#REF!</definedName>
    <definedName name="BBBDD" localSheetId="13">#REF!</definedName>
    <definedName name="BBBDD" localSheetId="12">#REF!</definedName>
    <definedName name="BBBDD" localSheetId="2">#REF!</definedName>
    <definedName name="BBBDD" localSheetId="15">#REF!</definedName>
    <definedName name="BBBDD" localSheetId="5">#REF!</definedName>
    <definedName name="BBBDD" localSheetId="4">#REF!</definedName>
    <definedName name="BBBDD" localSheetId="9">#REF!</definedName>
    <definedName name="BBBDD" localSheetId="3">#REF!</definedName>
    <definedName name="BBBDD" localSheetId="8">#REF!</definedName>
    <definedName name="BBBDD" localSheetId="11">#REF!</definedName>
    <definedName name="BBBDD" localSheetId="10">#REF!</definedName>
    <definedName name="BBBDD" localSheetId="7">#REF!</definedName>
    <definedName name="BBBDD" localSheetId="14">#REF!</definedName>
    <definedName name="BBBDD">#REF!</definedName>
    <definedName name="Carlos.Gonzalez" localSheetId="6">#REF!</definedName>
    <definedName name="Carlos.Gonzalez" localSheetId="16">#REF!</definedName>
    <definedName name="Carlos.Gonzalez" localSheetId="13">#REF!</definedName>
    <definedName name="Carlos.Gonzalez" localSheetId="12">#REF!</definedName>
    <definedName name="Carlos.Gonzalez" localSheetId="2">#REF!</definedName>
    <definedName name="Carlos.Gonzalez" localSheetId="15">#REF!</definedName>
    <definedName name="Carlos.Gonzalez" localSheetId="5">#REF!</definedName>
    <definedName name="Carlos.Gonzalez" localSheetId="4">#REF!</definedName>
    <definedName name="Carlos.Gonzalez" localSheetId="9">#REF!</definedName>
    <definedName name="Carlos.Gonzalez" localSheetId="3">#REF!</definedName>
    <definedName name="Carlos.Gonzalez" localSheetId="8">#REF!</definedName>
    <definedName name="Carlos.Gonzalez" localSheetId="11">#REF!</definedName>
    <definedName name="Carlos.Gonzalez" localSheetId="10">#REF!</definedName>
    <definedName name="Carlos.Gonzalez" localSheetId="7">#REF!</definedName>
    <definedName name="Carlos.Gonzalez" localSheetId="14">#REF!</definedName>
    <definedName name="Carlos.Gonzalez">#REF!</definedName>
    <definedName name="carolmos" localSheetId="6">#REF!</definedName>
    <definedName name="carolmos" localSheetId="16">#REF!</definedName>
    <definedName name="carolmos" localSheetId="13">#REF!</definedName>
    <definedName name="carolmos" localSheetId="12">#REF!</definedName>
    <definedName name="carolmos" localSheetId="2">#REF!</definedName>
    <definedName name="carolmos" localSheetId="15">#REF!</definedName>
    <definedName name="carolmos" localSheetId="5">#REF!</definedName>
    <definedName name="carolmos" localSheetId="4">#REF!</definedName>
    <definedName name="carolmos" localSheetId="9">#REF!</definedName>
    <definedName name="carolmos" localSheetId="3">#REF!</definedName>
    <definedName name="carolmos" localSheetId="8">#REF!</definedName>
    <definedName name="carolmos" localSheetId="11">#REF!</definedName>
    <definedName name="carolmos" localSheetId="10">#REF!</definedName>
    <definedName name="carolmos" localSheetId="7">#REF!</definedName>
    <definedName name="carolmos" localSheetId="14">#REF!</definedName>
    <definedName name="carolmos">#REF!</definedName>
    <definedName name="CLIENTE" localSheetId="6">#REF!</definedName>
    <definedName name="CLIENTE" localSheetId="16">#REF!</definedName>
    <definedName name="CLIENTE" localSheetId="13">#REF!</definedName>
    <definedName name="CLIENTE" localSheetId="12">#REF!</definedName>
    <definedName name="CLIENTE" localSheetId="2">#REF!</definedName>
    <definedName name="CLIENTE" localSheetId="15">#REF!</definedName>
    <definedName name="CLIENTE" localSheetId="5">#REF!</definedName>
    <definedName name="CLIENTE" localSheetId="4">#REF!</definedName>
    <definedName name="CLIENTE" localSheetId="9">#REF!</definedName>
    <definedName name="CLIENTE" localSheetId="3">#REF!</definedName>
    <definedName name="CLIENTE" localSheetId="8">#REF!</definedName>
    <definedName name="CLIENTE" localSheetId="11">#REF!</definedName>
    <definedName name="CLIENTE" localSheetId="10">#REF!</definedName>
    <definedName name="CLIENTE" localSheetId="7">#REF!</definedName>
    <definedName name="CLIENTE" localSheetId="14">#REF!</definedName>
    <definedName name="CLIENTE">#REF!</definedName>
    <definedName name="comunas" localSheetId="6">#REF!</definedName>
    <definedName name="comunas" localSheetId="16">#REF!</definedName>
    <definedName name="comunas" localSheetId="13">#REF!</definedName>
    <definedName name="comunas" localSheetId="12">#REF!</definedName>
    <definedName name="comunas" localSheetId="2">#REF!</definedName>
    <definedName name="comunas" localSheetId="15">#REF!</definedName>
    <definedName name="comunas" localSheetId="5">#REF!</definedName>
    <definedName name="comunas" localSheetId="4">#REF!</definedName>
    <definedName name="comunas" localSheetId="9">#REF!</definedName>
    <definedName name="comunas" localSheetId="3">#REF!</definedName>
    <definedName name="comunas" localSheetId="8">#REF!</definedName>
    <definedName name="comunas" localSheetId="11">#REF!</definedName>
    <definedName name="comunas" localSheetId="10">#REF!</definedName>
    <definedName name="comunas" localSheetId="7">#REF!</definedName>
    <definedName name="comunas" localSheetId="14">#REF!</definedName>
    <definedName name="comunas">#REF!</definedName>
    <definedName name="concepto" localSheetId="6">#REF!</definedName>
    <definedName name="concepto" localSheetId="16">#REF!</definedName>
    <definedName name="concepto" localSheetId="13">#REF!</definedName>
    <definedName name="concepto" localSheetId="12">#REF!</definedName>
    <definedName name="concepto" localSheetId="2">#REF!</definedName>
    <definedName name="concepto" localSheetId="15">#REF!</definedName>
    <definedName name="concepto" localSheetId="5">#REF!</definedName>
    <definedName name="concepto" localSheetId="4">#REF!</definedName>
    <definedName name="concepto" localSheetId="9">#REF!</definedName>
    <definedName name="concepto" localSheetId="3">#REF!</definedName>
    <definedName name="concepto" localSheetId="8">#REF!</definedName>
    <definedName name="concepto" localSheetId="11">#REF!</definedName>
    <definedName name="concepto" localSheetId="10">#REF!</definedName>
    <definedName name="concepto" localSheetId="7">#REF!</definedName>
    <definedName name="concepto" localSheetId="14">#REF!</definedName>
    <definedName name="concepto">#REF!</definedName>
    <definedName name="conceptos" localSheetId="6">#REF!</definedName>
    <definedName name="conceptos" localSheetId="16">#REF!</definedName>
    <definedName name="conceptos" localSheetId="13">#REF!</definedName>
    <definedName name="conceptos" localSheetId="12">#REF!</definedName>
    <definedName name="conceptos" localSheetId="2">#REF!</definedName>
    <definedName name="conceptos" localSheetId="15">#REF!</definedName>
    <definedName name="conceptos" localSheetId="5">#REF!</definedName>
    <definedName name="conceptos" localSheetId="4">#REF!</definedName>
    <definedName name="conceptos" localSheetId="9">#REF!</definedName>
    <definedName name="conceptos" localSheetId="3">#REF!</definedName>
    <definedName name="conceptos" localSheetId="8">#REF!</definedName>
    <definedName name="conceptos" localSheetId="11">#REF!</definedName>
    <definedName name="conceptos" localSheetId="10">#REF!</definedName>
    <definedName name="conceptos" localSheetId="7">#REF!</definedName>
    <definedName name="conceptos" localSheetId="14">#REF!</definedName>
    <definedName name="conceptos">#REF!</definedName>
    <definedName name="condicion" localSheetId="6">#REF!</definedName>
    <definedName name="condicion" localSheetId="16">#REF!</definedName>
    <definedName name="condicion" localSheetId="13">#REF!</definedName>
    <definedName name="condicion" localSheetId="12">#REF!</definedName>
    <definedName name="condicion" localSheetId="2">#REF!</definedName>
    <definedName name="condicion" localSheetId="15">#REF!</definedName>
    <definedName name="condicion" localSheetId="5">#REF!</definedName>
    <definedName name="condicion" localSheetId="4">#REF!</definedName>
    <definedName name="condicion" localSheetId="9">#REF!</definedName>
    <definedName name="condicion" localSheetId="3">#REF!</definedName>
    <definedName name="condicion" localSheetId="8">#REF!</definedName>
    <definedName name="condicion" localSheetId="11">#REF!</definedName>
    <definedName name="condicion" localSheetId="10">#REF!</definedName>
    <definedName name="condicion" localSheetId="7">#REF!</definedName>
    <definedName name="condicion" localSheetId="14">#REF!</definedName>
    <definedName name="condicion">#REF!</definedName>
    <definedName name="contenant">#REF!</definedName>
    <definedName name="DATA1" localSheetId="6">#REF!</definedName>
    <definedName name="DATA1" localSheetId="16">#REF!</definedName>
    <definedName name="DATA1" localSheetId="13">#REF!</definedName>
    <definedName name="DATA1" localSheetId="12">#REF!</definedName>
    <definedName name="DATA1" localSheetId="2">#REF!</definedName>
    <definedName name="DATA1" localSheetId="15">#REF!</definedName>
    <definedName name="DATA1" localSheetId="5">#REF!</definedName>
    <definedName name="DATA1" localSheetId="4">#REF!</definedName>
    <definedName name="DATA1" localSheetId="9">#REF!</definedName>
    <definedName name="DATA1" localSheetId="3">#REF!</definedName>
    <definedName name="DATA1" localSheetId="8">#REF!</definedName>
    <definedName name="DATA1" localSheetId="11">#REF!</definedName>
    <definedName name="DATA1" localSheetId="10">#REF!</definedName>
    <definedName name="DATA1" localSheetId="7">#REF!</definedName>
    <definedName name="DATA1" localSheetId="14">#REF!</definedName>
    <definedName name="DATA1">#REF!</definedName>
    <definedName name="DATA10" localSheetId="6">#REF!</definedName>
    <definedName name="DATA10" localSheetId="16">#REF!</definedName>
    <definedName name="DATA10" localSheetId="13">#REF!</definedName>
    <definedName name="DATA10" localSheetId="12">#REF!</definedName>
    <definedName name="DATA10" localSheetId="2">#REF!</definedName>
    <definedName name="DATA10" localSheetId="15">#REF!</definedName>
    <definedName name="DATA10" localSheetId="5">#REF!</definedName>
    <definedName name="DATA10" localSheetId="4">#REF!</definedName>
    <definedName name="DATA10" localSheetId="9">#REF!</definedName>
    <definedName name="DATA10" localSheetId="3">#REF!</definedName>
    <definedName name="DATA10" localSheetId="8">#REF!</definedName>
    <definedName name="DATA10" localSheetId="11">#REF!</definedName>
    <definedName name="DATA10" localSheetId="10">#REF!</definedName>
    <definedName name="DATA10" localSheetId="7">#REF!</definedName>
    <definedName name="DATA10" localSheetId="14">#REF!</definedName>
    <definedName name="DATA10">#REF!</definedName>
    <definedName name="DATA11" localSheetId="6">#REF!</definedName>
    <definedName name="DATA11" localSheetId="16">#REF!</definedName>
    <definedName name="DATA11" localSheetId="13">#REF!</definedName>
    <definedName name="DATA11" localSheetId="12">#REF!</definedName>
    <definedName name="DATA11" localSheetId="2">#REF!</definedName>
    <definedName name="DATA11" localSheetId="15">#REF!</definedName>
    <definedName name="DATA11" localSheetId="5">#REF!</definedName>
    <definedName name="DATA11" localSheetId="4">#REF!</definedName>
    <definedName name="DATA11" localSheetId="9">#REF!</definedName>
    <definedName name="DATA11" localSheetId="3">#REF!</definedName>
    <definedName name="DATA11" localSheetId="8">#REF!</definedName>
    <definedName name="DATA11" localSheetId="11">#REF!</definedName>
    <definedName name="DATA11" localSheetId="10">#REF!</definedName>
    <definedName name="DATA11" localSheetId="7">#REF!</definedName>
    <definedName name="DATA11" localSheetId="14">#REF!</definedName>
    <definedName name="DATA11">#REF!</definedName>
    <definedName name="DATA12" localSheetId="6">#REF!</definedName>
    <definedName name="DATA12" localSheetId="16">#REF!</definedName>
    <definedName name="DATA12" localSheetId="13">#REF!</definedName>
    <definedName name="DATA12" localSheetId="12">#REF!</definedName>
    <definedName name="DATA12" localSheetId="2">#REF!</definedName>
    <definedName name="DATA12" localSheetId="15">#REF!</definedName>
    <definedName name="DATA12" localSheetId="5">#REF!</definedName>
    <definedName name="DATA12" localSheetId="4">#REF!</definedName>
    <definedName name="DATA12" localSheetId="9">#REF!</definedName>
    <definedName name="DATA12" localSheetId="3">#REF!</definedName>
    <definedName name="DATA12" localSheetId="8">#REF!</definedName>
    <definedName name="DATA12" localSheetId="11">#REF!</definedName>
    <definedName name="DATA12" localSheetId="10">#REF!</definedName>
    <definedName name="DATA12" localSheetId="7">#REF!</definedName>
    <definedName name="DATA12" localSheetId="14">#REF!</definedName>
    <definedName name="DATA12">#REF!</definedName>
    <definedName name="DATA13" localSheetId="6">#REF!</definedName>
    <definedName name="DATA13" localSheetId="16">#REF!</definedName>
    <definedName name="DATA13" localSheetId="13">#REF!</definedName>
    <definedName name="DATA13" localSheetId="12">#REF!</definedName>
    <definedName name="DATA13" localSheetId="2">#REF!</definedName>
    <definedName name="DATA13" localSheetId="15">#REF!</definedName>
    <definedName name="DATA13" localSheetId="5">#REF!</definedName>
    <definedName name="DATA13" localSheetId="4">#REF!</definedName>
    <definedName name="DATA13" localSheetId="9">#REF!</definedName>
    <definedName name="DATA13" localSheetId="3">#REF!</definedName>
    <definedName name="DATA13" localSheetId="8">#REF!</definedName>
    <definedName name="DATA13" localSheetId="11">#REF!</definedName>
    <definedName name="DATA13" localSheetId="10">#REF!</definedName>
    <definedName name="DATA13" localSheetId="7">#REF!</definedName>
    <definedName name="DATA13" localSheetId="14">#REF!</definedName>
    <definedName name="DATA13">#REF!</definedName>
    <definedName name="DATA16" localSheetId="6">#REF!</definedName>
    <definedName name="DATA16" localSheetId="16">#REF!</definedName>
    <definedName name="DATA16" localSheetId="13">#REF!</definedName>
    <definedName name="DATA16" localSheetId="12">#REF!</definedName>
    <definedName name="DATA16" localSheetId="2">#REF!</definedName>
    <definedName name="DATA16" localSheetId="15">#REF!</definedName>
    <definedName name="DATA16" localSheetId="5">#REF!</definedName>
    <definedName name="DATA16" localSheetId="4">#REF!</definedName>
    <definedName name="DATA16" localSheetId="9">#REF!</definedName>
    <definedName name="DATA16" localSheetId="3">#REF!</definedName>
    <definedName name="DATA16" localSheetId="8">#REF!</definedName>
    <definedName name="DATA16" localSheetId="11">#REF!</definedName>
    <definedName name="DATA16" localSheetId="10">#REF!</definedName>
    <definedName name="DATA16" localSheetId="7">#REF!</definedName>
    <definedName name="DATA16" localSheetId="14">#REF!</definedName>
    <definedName name="DATA16">#REF!</definedName>
    <definedName name="DATA17" localSheetId="6">#REF!</definedName>
    <definedName name="DATA17" localSheetId="16">#REF!</definedName>
    <definedName name="DATA17" localSheetId="13">#REF!</definedName>
    <definedName name="DATA17" localSheetId="12">#REF!</definedName>
    <definedName name="DATA17" localSheetId="2">#REF!</definedName>
    <definedName name="DATA17" localSheetId="15">#REF!</definedName>
    <definedName name="DATA17" localSheetId="5">#REF!</definedName>
    <definedName name="DATA17" localSheetId="4">#REF!</definedName>
    <definedName name="DATA17" localSheetId="9">#REF!</definedName>
    <definedName name="DATA17" localSheetId="3">#REF!</definedName>
    <definedName name="DATA17" localSheetId="8">#REF!</definedName>
    <definedName name="DATA17" localSheetId="11">#REF!</definedName>
    <definedName name="DATA17" localSheetId="10">#REF!</definedName>
    <definedName name="DATA17" localSheetId="7">#REF!</definedName>
    <definedName name="DATA17" localSheetId="14">#REF!</definedName>
    <definedName name="DATA17">#REF!</definedName>
    <definedName name="DATA2" localSheetId="6">#REF!</definedName>
    <definedName name="DATA2" localSheetId="16">#REF!</definedName>
    <definedName name="DATA2" localSheetId="13">#REF!</definedName>
    <definedName name="DATA2" localSheetId="12">#REF!</definedName>
    <definedName name="DATA2" localSheetId="2">#REF!</definedName>
    <definedName name="DATA2" localSheetId="15">#REF!</definedName>
    <definedName name="DATA2" localSheetId="5">#REF!</definedName>
    <definedName name="DATA2" localSheetId="4">#REF!</definedName>
    <definedName name="DATA2" localSheetId="9">#REF!</definedName>
    <definedName name="DATA2" localSheetId="3">#REF!</definedName>
    <definedName name="DATA2" localSheetId="8">#REF!</definedName>
    <definedName name="DATA2" localSheetId="11">#REF!</definedName>
    <definedName name="DATA2" localSheetId="10">#REF!</definedName>
    <definedName name="DATA2" localSheetId="7">#REF!</definedName>
    <definedName name="DATA2" localSheetId="14">#REF!</definedName>
    <definedName name="DATA2">#REF!</definedName>
    <definedName name="DATA3" localSheetId="6">#REF!</definedName>
    <definedName name="DATA3" localSheetId="16">#REF!</definedName>
    <definedName name="DATA3" localSheetId="13">#REF!</definedName>
    <definedName name="DATA3" localSheetId="12">#REF!</definedName>
    <definedName name="DATA3" localSheetId="2">#REF!</definedName>
    <definedName name="DATA3" localSheetId="15">#REF!</definedName>
    <definedName name="DATA3" localSheetId="5">#REF!</definedName>
    <definedName name="DATA3" localSheetId="4">#REF!</definedName>
    <definedName name="DATA3" localSheetId="9">#REF!</definedName>
    <definedName name="DATA3" localSheetId="3">#REF!</definedName>
    <definedName name="DATA3" localSheetId="8">#REF!</definedName>
    <definedName name="DATA3" localSheetId="11">#REF!</definedName>
    <definedName name="DATA3" localSheetId="10">#REF!</definedName>
    <definedName name="DATA3" localSheetId="7">#REF!</definedName>
    <definedName name="DATA3" localSheetId="14">#REF!</definedName>
    <definedName name="DATA3">#REF!</definedName>
    <definedName name="DATA4" localSheetId="6">#REF!</definedName>
    <definedName name="DATA4" localSheetId="16">#REF!</definedName>
    <definedName name="DATA4" localSheetId="13">#REF!</definedName>
    <definedName name="DATA4" localSheetId="12">#REF!</definedName>
    <definedName name="DATA4" localSheetId="2">#REF!</definedName>
    <definedName name="DATA4" localSheetId="15">#REF!</definedName>
    <definedName name="DATA4" localSheetId="5">#REF!</definedName>
    <definedName name="DATA4" localSheetId="4">#REF!</definedName>
    <definedName name="DATA4" localSheetId="9">#REF!</definedName>
    <definedName name="DATA4" localSheetId="3">#REF!</definedName>
    <definedName name="DATA4" localSheetId="8">#REF!</definedName>
    <definedName name="DATA4" localSheetId="11">#REF!</definedName>
    <definedName name="DATA4" localSheetId="10">#REF!</definedName>
    <definedName name="DATA4" localSheetId="7">#REF!</definedName>
    <definedName name="DATA4" localSheetId="14">#REF!</definedName>
    <definedName name="DATA4">#REF!</definedName>
    <definedName name="DATA5" localSheetId="6">#REF!</definedName>
    <definedName name="DATA5" localSheetId="16">#REF!</definedName>
    <definedName name="DATA5" localSheetId="13">#REF!</definedName>
    <definedName name="DATA5" localSheetId="12">#REF!</definedName>
    <definedName name="DATA5" localSheetId="2">#REF!</definedName>
    <definedName name="DATA5" localSheetId="15">#REF!</definedName>
    <definedName name="DATA5" localSheetId="5">#REF!</definedName>
    <definedName name="DATA5" localSheetId="4">#REF!</definedName>
    <definedName name="DATA5" localSheetId="9">#REF!</definedName>
    <definedName name="DATA5" localSheetId="3">#REF!</definedName>
    <definedName name="DATA5" localSheetId="8">#REF!</definedName>
    <definedName name="DATA5" localSheetId="11">#REF!</definedName>
    <definedName name="DATA5" localSheetId="10">#REF!</definedName>
    <definedName name="DATA5" localSheetId="7">#REF!</definedName>
    <definedName name="DATA5" localSheetId="14">#REF!</definedName>
    <definedName name="DATA5">#REF!</definedName>
    <definedName name="DATA6" localSheetId="6">#REF!</definedName>
    <definedName name="DATA6" localSheetId="16">#REF!</definedName>
    <definedName name="DATA6" localSheetId="13">#REF!</definedName>
    <definedName name="DATA6" localSheetId="12">#REF!</definedName>
    <definedName name="DATA6" localSheetId="2">#REF!</definedName>
    <definedName name="DATA6" localSheetId="15">#REF!</definedName>
    <definedName name="DATA6" localSheetId="5">#REF!</definedName>
    <definedName name="DATA6" localSheetId="4">#REF!</definedName>
    <definedName name="DATA6" localSheetId="9">#REF!</definedName>
    <definedName name="DATA6" localSheetId="3">#REF!</definedName>
    <definedName name="DATA6" localSheetId="8">#REF!</definedName>
    <definedName name="DATA6" localSheetId="11">#REF!</definedName>
    <definedName name="DATA6" localSheetId="10">#REF!</definedName>
    <definedName name="DATA6" localSheetId="7">#REF!</definedName>
    <definedName name="DATA6" localSheetId="14">#REF!</definedName>
    <definedName name="DATA6">#REF!</definedName>
    <definedName name="DATA7" localSheetId="6">#REF!</definedName>
    <definedName name="DATA7" localSheetId="16">#REF!</definedName>
    <definedName name="DATA7" localSheetId="13">#REF!</definedName>
    <definedName name="DATA7" localSheetId="12">#REF!</definedName>
    <definedName name="DATA7" localSheetId="2">#REF!</definedName>
    <definedName name="DATA7" localSheetId="15">#REF!</definedName>
    <definedName name="DATA7" localSheetId="5">#REF!</definedName>
    <definedName name="DATA7" localSheetId="4">#REF!</definedName>
    <definedName name="DATA7" localSheetId="9">#REF!</definedName>
    <definedName name="DATA7" localSheetId="3">#REF!</definedName>
    <definedName name="DATA7" localSheetId="8">#REF!</definedName>
    <definedName name="DATA7" localSheetId="11">#REF!</definedName>
    <definedName name="DATA7" localSheetId="10">#REF!</definedName>
    <definedName name="DATA7" localSheetId="7">#REF!</definedName>
    <definedName name="DATA7" localSheetId="14">#REF!</definedName>
    <definedName name="DATA7">#REF!</definedName>
    <definedName name="DATA8" localSheetId="6">#REF!</definedName>
    <definedName name="DATA8" localSheetId="16">#REF!</definedName>
    <definedName name="DATA8" localSheetId="13">#REF!</definedName>
    <definedName name="DATA8" localSheetId="12">#REF!</definedName>
    <definedName name="DATA8" localSheetId="2">#REF!</definedName>
    <definedName name="DATA8" localSheetId="15">#REF!</definedName>
    <definedName name="DATA8" localSheetId="5">#REF!</definedName>
    <definedName name="DATA8" localSheetId="4">#REF!</definedName>
    <definedName name="DATA8" localSheetId="9">#REF!</definedName>
    <definedName name="DATA8" localSheetId="3">#REF!</definedName>
    <definedName name="DATA8" localSheetId="8">#REF!</definedName>
    <definedName name="DATA8" localSheetId="11">#REF!</definedName>
    <definedName name="DATA8" localSheetId="10">#REF!</definedName>
    <definedName name="DATA8" localSheetId="7">#REF!</definedName>
    <definedName name="DATA8" localSheetId="14">#REF!</definedName>
    <definedName name="DATA8">#REF!</definedName>
    <definedName name="DATA9" localSheetId="6">#REF!</definedName>
    <definedName name="DATA9" localSheetId="16">#REF!</definedName>
    <definedName name="DATA9" localSheetId="13">#REF!</definedName>
    <definedName name="DATA9" localSheetId="12">#REF!</definedName>
    <definedName name="DATA9" localSheetId="2">#REF!</definedName>
    <definedName name="DATA9" localSheetId="15">#REF!</definedName>
    <definedName name="DATA9" localSheetId="5">#REF!</definedName>
    <definedName name="DATA9" localSheetId="4">#REF!</definedName>
    <definedName name="DATA9" localSheetId="9">#REF!</definedName>
    <definedName name="DATA9" localSheetId="3">#REF!</definedName>
    <definedName name="DATA9" localSheetId="8">#REF!</definedName>
    <definedName name="DATA9" localSheetId="11">#REF!</definedName>
    <definedName name="DATA9" localSheetId="10">#REF!</definedName>
    <definedName name="DATA9" localSheetId="7">#REF!</definedName>
    <definedName name="DATA9" localSheetId="14">#REF!</definedName>
    <definedName name="DATA9">#REF!</definedName>
    <definedName name="descuentos" localSheetId="6">#REF!</definedName>
    <definedName name="descuentos" localSheetId="16">#REF!</definedName>
    <definedName name="descuentos" localSheetId="13">#REF!</definedName>
    <definedName name="descuentos" localSheetId="12">#REF!</definedName>
    <definedName name="descuentos" localSheetId="2">#REF!</definedName>
    <definedName name="descuentos" localSheetId="15">#REF!</definedName>
    <definedName name="descuentos" localSheetId="5">#REF!</definedName>
    <definedName name="descuentos" localSheetId="4">#REF!</definedName>
    <definedName name="descuentos" localSheetId="9">#REF!</definedName>
    <definedName name="descuentos" localSheetId="3">#REF!</definedName>
    <definedName name="descuentos" localSheetId="8">#REF!</definedName>
    <definedName name="descuentos" localSheetId="11">#REF!</definedName>
    <definedName name="descuentos" localSheetId="10">#REF!</definedName>
    <definedName name="descuentos" localSheetId="7">#REF!</definedName>
    <definedName name="descuentos" localSheetId="14">#REF!</definedName>
    <definedName name="descuentos">#REF!</definedName>
    <definedName name="descuentos1" localSheetId="6">#REF!</definedName>
    <definedName name="descuentos1" localSheetId="16">#REF!</definedName>
    <definedName name="descuentos1" localSheetId="13">#REF!</definedName>
    <definedName name="descuentos1" localSheetId="12">#REF!</definedName>
    <definedName name="descuentos1" localSheetId="2">#REF!</definedName>
    <definedName name="descuentos1" localSheetId="15">#REF!</definedName>
    <definedName name="descuentos1" localSheetId="5">#REF!</definedName>
    <definedName name="descuentos1" localSheetId="4">#REF!</definedName>
    <definedName name="descuentos1" localSheetId="9">#REF!</definedName>
    <definedName name="descuentos1" localSheetId="3">#REF!</definedName>
    <definedName name="descuentos1" localSheetId="8">#REF!</definedName>
    <definedName name="descuentos1" localSheetId="11">#REF!</definedName>
    <definedName name="descuentos1" localSheetId="10">#REF!</definedName>
    <definedName name="descuentos1" localSheetId="7">#REF!</definedName>
    <definedName name="descuentos1" localSheetId="14">#REF!</definedName>
    <definedName name="descuentos1">#REF!</definedName>
    <definedName name="Dfv" localSheetId="6" hidden="1">{#N/A,#N/A,FALSE,"Aging Summary";#N/A,#N/A,FALSE,"Ratio Analysis";#N/A,#N/A,FALSE,"Test 120 Day Accts";#N/A,#N/A,FALSE,"Tickmarks"}</definedName>
    <definedName name="Dfv" localSheetId="16" hidden="1">{#N/A,#N/A,FALSE,"Aging Summary";#N/A,#N/A,FALSE,"Ratio Analysis";#N/A,#N/A,FALSE,"Test 120 Day Accts";#N/A,#N/A,FALSE,"Tickmarks"}</definedName>
    <definedName name="Dfv" localSheetId="13" hidden="1">{#N/A,#N/A,FALSE,"Aging Summary";#N/A,#N/A,FALSE,"Ratio Analysis";#N/A,#N/A,FALSE,"Test 120 Day Accts";#N/A,#N/A,FALSE,"Tickmarks"}</definedName>
    <definedName name="Dfv" localSheetId="12" hidden="1">{#N/A,#N/A,FALSE,"Aging Summary";#N/A,#N/A,FALSE,"Ratio Analysis";#N/A,#N/A,FALSE,"Test 120 Day Accts";#N/A,#N/A,FALSE,"Tickmarks"}</definedName>
    <definedName name="Dfv" localSheetId="2" hidden="1">{#N/A,#N/A,FALSE,"Aging Summary";#N/A,#N/A,FALSE,"Ratio Analysis";#N/A,#N/A,FALSE,"Test 120 Day Accts";#N/A,#N/A,FALSE,"Tickmarks"}</definedName>
    <definedName name="Dfv" localSheetId="15" hidden="1">{#N/A,#N/A,FALSE,"Aging Summary";#N/A,#N/A,FALSE,"Ratio Analysis";#N/A,#N/A,FALSE,"Test 120 Day Accts";#N/A,#N/A,FALSE,"Tickmarks"}</definedName>
    <definedName name="Dfv" localSheetId="5" hidden="1">{#N/A,#N/A,FALSE,"Aging Summary";#N/A,#N/A,FALSE,"Ratio Analysis";#N/A,#N/A,FALSE,"Test 120 Day Accts";#N/A,#N/A,FALSE,"Tickmarks"}</definedName>
    <definedName name="Dfv" localSheetId="4" hidden="1">{#N/A,#N/A,FALSE,"Aging Summary";#N/A,#N/A,FALSE,"Ratio Analysis";#N/A,#N/A,FALSE,"Test 120 Day Accts";#N/A,#N/A,FALSE,"Tickmarks"}</definedName>
    <definedName name="Dfv" localSheetId="9" hidden="1">{#N/A,#N/A,FALSE,"Aging Summary";#N/A,#N/A,FALSE,"Ratio Analysis";#N/A,#N/A,FALSE,"Test 120 Day Accts";#N/A,#N/A,FALSE,"Tickmarks"}</definedName>
    <definedName name="Dfv" localSheetId="3" hidden="1">{#N/A,#N/A,FALSE,"Aging Summary";#N/A,#N/A,FALSE,"Ratio Analysis";#N/A,#N/A,FALSE,"Test 120 Day Accts";#N/A,#N/A,FALSE,"Tickmarks"}</definedName>
    <definedName name="Dfv" localSheetId="8" hidden="1">{#N/A,#N/A,FALSE,"Aging Summary";#N/A,#N/A,FALSE,"Ratio Analysis";#N/A,#N/A,FALSE,"Test 120 Day Accts";#N/A,#N/A,FALSE,"Tickmarks"}</definedName>
    <definedName name="Dfv" localSheetId="11" hidden="1">{#N/A,#N/A,FALSE,"Aging Summary";#N/A,#N/A,FALSE,"Ratio Analysis";#N/A,#N/A,FALSE,"Test 120 Day Accts";#N/A,#N/A,FALSE,"Tickmarks"}</definedName>
    <definedName name="Dfv" localSheetId="10" hidden="1">{#N/A,#N/A,FALSE,"Aging Summary";#N/A,#N/A,FALSE,"Ratio Analysis";#N/A,#N/A,FALSE,"Test 120 Day Accts";#N/A,#N/A,FALSE,"Tickmarks"}</definedName>
    <definedName name="Dfv" localSheetId="7" hidden="1">{#N/A,#N/A,FALSE,"Aging Summary";#N/A,#N/A,FALSE,"Ratio Analysis";#N/A,#N/A,FALSE,"Test 120 Day Accts";#N/A,#N/A,FALSE,"Tickmarks"}</definedName>
    <definedName name="Dfv" localSheetId="14" hidden="1">{#N/A,#N/A,FALSE,"Aging Summary";#N/A,#N/A,FALSE,"Ratio Analysis";#N/A,#N/A,FALSE,"Test 120 Day Accts";#N/A,#N/A,FALSE,"Tickmarks"}</definedName>
    <definedName name="Dfv" hidden="1">{#N/A,#N/A,FALSE,"Aging Summary";#N/A,#N/A,FALSE,"Ratio Analysis";#N/A,#N/A,FALSE,"Test 120 Day Accts";#N/A,#N/A,FALSE,"Tickmarks"}</definedName>
    <definedName name="dias" localSheetId="6">#REF!</definedName>
    <definedName name="dias" localSheetId="16">#REF!</definedName>
    <definedName name="dias" localSheetId="13">#REF!</definedName>
    <definedName name="dias" localSheetId="12">#REF!</definedName>
    <definedName name="dias" localSheetId="2">#REF!</definedName>
    <definedName name="dias" localSheetId="15">#REF!</definedName>
    <definedName name="dias" localSheetId="5">#REF!</definedName>
    <definedName name="dias" localSheetId="4">#REF!</definedName>
    <definedName name="dias" localSheetId="9">#REF!</definedName>
    <definedName name="dias" localSheetId="3">#REF!</definedName>
    <definedName name="dias" localSheetId="8">#REF!</definedName>
    <definedName name="dias" localSheetId="11">#REF!</definedName>
    <definedName name="dias" localSheetId="10">#REF!</definedName>
    <definedName name="dias" localSheetId="7">#REF!</definedName>
    <definedName name="dias" localSheetId="14">#REF!</definedName>
    <definedName name="dias">#REF!</definedName>
    <definedName name="fpago" localSheetId="6">#REF!</definedName>
    <definedName name="fpago" localSheetId="16">#REF!</definedName>
    <definedName name="fpago" localSheetId="13">#REF!</definedName>
    <definedName name="fpago" localSheetId="12">#REF!</definedName>
    <definedName name="fpago" localSheetId="2">#REF!</definedName>
    <definedName name="fpago" localSheetId="15">#REF!</definedName>
    <definedName name="fpago" localSheetId="5">#REF!</definedName>
    <definedName name="fpago" localSheetId="4">#REF!</definedName>
    <definedName name="fpago" localSheetId="9">#REF!</definedName>
    <definedName name="fpago" localSheetId="3">#REF!</definedName>
    <definedName name="fpago" localSheetId="8">#REF!</definedName>
    <definedName name="fpago" localSheetId="11">#REF!</definedName>
    <definedName name="fpago" localSheetId="10">#REF!</definedName>
    <definedName name="fpago" localSheetId="7">#REF!</definedName>
    <definedName name="fpago" localSheetId="14">#REF!</definedName>
    <definedName name="fpago">#REF!</definedName>
    <definedName name="gt" localSheetId="6" hidden="1">{#N/A,#N/A,FALSE,"Aging Summary";#N/A,#N/A,FALSE,"Ratio Analysis";#N/A,#N/A,FALSE,"Test 120 Day Accts";#N/A,#N/A,FALSE,"Tickmarks"}</definedName>
    <definedName name="gt" localSheetId="16" hidden="1">{#N/A,#N/A,FALSE,"Aging Summary";#N/A,#N/A,FALSE,"Ratio Analysis";#N/A,#N/A,FALSE,"Test 120 Day Accts";#N/A,#N/A,FALSE,"Tickmarks"}</definedName>
    <definedName name="gt" localSheetId="13" hidden="1">{#N/A,#N/A,FALSE,"Aging Summary";#N/A,#N/A,FALSE,"Ratio Analysis";#N/A,#N/A,FALSE,"Test 120 Day Accts";#N/A,#N/A,FALSE,"Tickmarks"}</definedName>
    <definedName name="gt" localSheetId="12" hidden="1">{#N/A,#N/A,FALSE,"Aging Summary";#N/A,#N/A,FALSE,"Ratio Analysis";#N/A,#N/A,FALSE,"Test 120 Day Accts";#N/A,#N/A,FALSE,"Tickmarks"}</definedName>
    <definedName name="gt" localSheetId="2" hidden="1">{#N/A,#N/A,FALSE,"Aging Summary";#N/A,#N/A,FALSE,"Ratio Analysis";#N/A,#N/A,FALSE,"Test 120 Day Accts";#N/A,#N/A,FALSE,"Tickmarks"}</definedName>
    <definedName name="gt" localSheetId="15" hidden="1">{#N/A,#N/A,FALSE,"Aging Summary";#N/A,#N/A,FALSE,"Ratio Analysis";#N/A,#N/A,FALSE,"Test 120 Day Accts";#N/A,#N/A,FALSE,"Tickmarks"}</definedName>
    <definedName name="gt" localSheetId="5" hidden="1">{#N/A,#N/A,FALSE,"Aging Summary";#N/A,#N/A,FALSE,"Ratio Analysis";#N/A,#N/A,FALSE,"Test 120 Day Accts";#N/A,#N/A,FALSE,"Tickmarks"}</definedName>
    <definedName name="gt" localSheetId="4" hidden="1">{#N/A,#N/A,FALSE,"Aging Summary";#N/A,#N/A,FALSE,"Ratio Analysis";#N/A,#N/A,FALSE,"Test 120 Day Accts";#N/A,#N/A,FALSE,"Tickmarks"}</definedName>
    <definedName name="gt" localSheetId="9" hidden="1">{#N/A,#N/A,FALSE,"Aging Summary";#N/A,#N/A,FALSE,"Ratio Analysis";#N/A,#N/A,FALSE,"Test 120 Day Accts";#N/A,#N/A,FALSE,"Tickmarks"}</definedName>
    <definedName name="gt" localSheetId="3" hidden="1">{#N/A,#N/A,FALSE,"Aging Summary";#N/A,#N/A,FALSE,"Ratio Analysis";#N/A,#N/A,FALSE,"Test 120 Day Accts";#N/A,#N/A,FALSE,"Tickmarks"}</definedName>
    <definedName name="gt" localSheetId="8" hidden="1">{#N/A,#N/A,FALSE,"Aging Summary";#N/A,#N/A,FALSE,"Ratio Analysis";#N/A,#N/A,FALSE,"Test 120 Day Accts";#N/A,#N/A,FALSE,"Tickmarks"}</definedName>
    <definedName name="gt" localSheetId="11" hidden="1">{#N/A,#N/A,FALSE,"Aging Summary";#N/A,#N/A,FALSE,"Ratio Analysis";#N/A,#N/A,FALSE,"Test 120 Day Accts";#N/A,#N/A,FALSE,"Tickmarks"}</definedName>
    <definedName name="gt" localSheetId="10" hidden="1">{#N/A,#N/A,FALSE,"Aging Summary";#N/A,#N/A,FALSE,"Ratio Analysis";#N/A,#N/A,FALSE,"Test 120 Day Accts";#N/A,#N/A,FALSE,"Tickmarks"}</definedName>
    <definedName name="gt" localSheetId="7" hidden="1">{#N/A,#N/A,FALSE,"Aging Summary";#N/A,#N/A,FALSE,"Ratio Analysis";#N/A,#N/A,FALSE,"Test 120 Day Accts";#N/A,#N/A,FALSE,"Tickmarks"}</definedName>
    <definedName name="gt" localSheetId="14" hidden="1">{#N/A,#N/A,FALSE,"Aging Summary";#N/A,#N/A,FALSE,"Ratio Analysis";#N/A,#N/A,FALSE,"Test 120 Day Accts";#N/A,#N/A,FALSE,"Tickmarks"}</definedName>
    <definedName name="gt" hidden="1">{#N/A,#N/A,FALSE,"Aging Summary";#N/A,#N/A,FALSE,"Ratio Analysis";#N/A,#N/A,FALSE,"Test 120 Day Accts";#N/A,#N/A,FALSE,"Tickmarks"}</definedName>
    <definedName name="gtr" localSheetId="6" hidden="1">{#N/A,#N/A,FALSE,"Aging Summary";#N/A,#N/A,FALSE,"Ratio Analysis";#N/A,#N/A,FALSE,"Test 120 Day Accts";#N/A,#N/A,FALSE,"Tickmarks"}</definedName>
    <definedName name="gtr" localSheetId="16" hidden="1">{#N/A,#N/A,FALSE,"Aging Summary";#N/A,#N/A,FALSE,"Ratio Analysis";#N/A,#N/A,FALSE,"Test 120 Day Accts";#N/A,#N/A,FALSE,"Tickmarks"}</definedName>
    <definedName name="gtr" localSheetId="13" hidden="1">{#N/A,#N/A,FALSE,"Aging Summary";#N/A,#N/A,FALSE,"Ratio Analysis";#N/A,#N/A,FALSE,"Test 120 Day Accts";#N/A,#N/A,FALSE,"Tickmarks"}</definedName>
    <definedName name="gtr" localSheetId="12" hidden="1">{#N/A,#N/A,FALSE,"Aging Summary";#N/A,#N/A,FALSE,"Ratio Analysis";#N/A,#N/A,FALSE,"Test 120 Day Accts";#N/A,#N/A,FALSE,"Tickmarks"}</definedName>
    <definedName name="gtr" localSheetId="2" hidden="1">{#N/A,#N/A,FALSE,"Aging Summary";#N/A,#N/A,FALSE,"Ratio Analysis";#N/A,#N/A,FALSE,"Test 120 Day Accts";#N/A,#N/A,FALSE,"Tickmarks"}</definedName>
    <definedName name="gtr" localSheetId="15" hidden="1">{#N/A,#N/A,FALSE,"Aging Summary";#N/A,#N/A,FALSE,"Ratio Analysis";#N/A,#N/A,FALSE,"Test 120 Day Accts";#N/A,#N/A,FALSE,"Tickmarks"}</definedName>
    <definedName name="gtr" localSheetId="5" hidden="1">{#N/A,#N/A,FALSE,"Aging Summary";#N/A,#N/A,FALSE,"Ratio Analysis";#N/A,#N/A,FALSE,"Test 120 Day Accts";#N/A,#N/A,FALSE,"Tickmarks"}</definedName>
    <definedName name="gtr" localSheetId="4" hidden="1">{#N/A,#N/A,FALSE,"Aging Summary";#N/A,#N/A,FALSE,"Ratio Analysis";#N/A,#N/A,FALSE,"Test 120 Day Accts";#N/A,#N/A,FALSE,"Tickmarks"}</definedName>
    <definedName name="gtr" localSheetId="9" hidden="1">{#N/A,#N/A,FALSE,"Aging Summary";#N/A,#N/A,FALSE,"Ratio Analysis";#N/A,#N/A,FALSE,"Test 120 Day Accts";#N/A,#N/A,FALSE,"Tickmarks"}</definedName>
    <definedName name="gtr" localSheetId="3" hidden="1">{#N/A,#N/A,FALSE,"Aging Summary";#N/A,#N/A,FALSE,"Ratio Analysis";#N/A,#N/A,FALSE,"Test 120 Day Accts";#N/A,#N/A,FALSE,"Tickmarks"}</definedName>
    <definedName name="gtr" localSheetId="8" hidden="1">{#N/A,#N/A,FALSE,"Aging Summary";#N/A,#N/A,FALSE,"Ratio Analysis";#N/A,#N/A,FALSE,"Test 120 Day Accts";#N/A,#N/A,FALSE,"Tickmarks"}</definedName>
    <definedName name="gtr" localSheetId="11" hidden="1">{#N/A,#N/A,FALSE,"Aging Summary";#N/A,#N/A,FALSE,"Ratio Analysis";#N/A,#N/A,FALSE,"Test 120 Day Accts";#N/A,#N/A,FALSE,"Tickmarks"}</definedName>
    <definedName name="gtr" localSheetId="10" hidden="1">{#N/A,#N/A,FALSE,"Aging Summary";#N/A,#N/A,FALSE,"Ratio Analysis";#N/A,#N/A,FALSE,"Test 120 Day Accts";#N/A,#N/A,FALSE,"Tickmarks"}</definedName>
    <definedName name="gtr" localSheetId="7" hidden="1">{#N/A,#N/A,FALSE,"Aging Summary";#N/A,#N/A,FALSE,"Ratio Analysis";#N/A,#N/A,FALSE,"Test 120 Day Accts";#N/A,#N/A,FALSE,"Tickmarks"}</definedName>
    <definedName name="gtr" localSheetId="14" hidden="1">{#N/A,#N/A,FALSE,"Aging Summary";#N/A,#N/A,FALSE,"Ratio Analysis";#N/A,#N/A,FALSE,"Test 120 Day Accts";#N/A,#N/A,FALSE,"Tickmarks"}</definedName>
    <definedName name="gtr" hidden="1">{#N/A,#N/A,FALSE,"Aging Summary";#N/A,#N/A,FALSE,"Ratio Analysis";#N/A,#N/A,FALSE,"Test 120 Day Accts";#N/A,#N/A,FALSE,"Tickmarks"}</definedName>
    <definedName name="hm" localSheetId="6" hidden="1">{#N/A,#N/A,FALSE,"Aging Summary";#N/A,#N/A,FALSE,"Ratio Analysis";#N/A,#N/A,FALSE,"Test 120 Day Accts";#N/A,#N/A,FALSE,"Tickmarks"}</definedName>
    <definedName name="hm" localSheetId="16" hidden="1">{#N/A,#N/A,FALSE,"Aging Summary";#N/A,#N/A,FALSE,"Ratio Analysis";#N/A,#N/A,FALSE,"Test 120 Day Accts";#N/A,#N/A,FALSE,"Tickmarks"}</definedName>
    <definedName name="hm" localSheetId="13" hidden="1">{#N/A,#N/A,FALSE,"Aging Summary";#N/A,#N/A,FALSE,"Ratio Analysis";#N/A,#N/A,FALSE,"Test 120 Day Accts";#N/A,#N/A,FALSE,"Tickmarks"}</definedName>
    <definedName name="hm" localSheetId="12" hidden="1">{#N/A,#N/A,FALSE,"Aging Summary";#N/A,#N/A,FALSE,"Ratio Analysis";#N/A,#N/A,FALSE,"Test 120 Day Accts";#N/A,#N/A,FALSE,"Tickmarks"}</definedName>
    <definedName name="hm" localSheetId="2" hidden="1">{#N/A,#N/A,FALSE,"Aging Summary";#N/A,#N/A,FALSE,"Ratio Analysis";#N/A,#N/A,FALSE,"Test 120 Day Accts";#N/A,#N/A,FALSE,"Tickmarks"}</definedName>
    <definedName name="hm" localSheetId="15" hidden="1">{#N/A,#N/A,FALSE,"Aging Summary";#N/A,#N/A,FALSE,"Ratio Analysis";#N/A,#N/A,FALSE,"Test 120 Day Accts";#N/A,#N/A,FALSE,"Tickmarks"}</definedName>
    <definedName name="hm" localSheetId="5" hidden="1">{#N/A,#N/A,FALSE,"Aging Summary";#N/A,#N/A,FALSE,"Ratio Analysis";#N/A,#N/A,FALSE,"Test 120 Day Accts";#N/A,#N/A,FALSE,"Tickmarks"}</definedName>
    <definedName name="hm" localSheetId="4" hidden="1">{#N/A,#N/A,FALSE,"Aging Summary";#N/A,#N/A,FALSE,"Ratio Analysis";#N/A,#N/A,FALSE,"Test 120 Day Accts";#N/A,#N/A,FALSE,"Tickmarks"}</definedName>
    <definedName name="hm" localSheetId="9" hidden="1">{#N/A,#N/A,FALSE,"Aging Summary";#N/A,#N/A,FALSE,"Ratio Analysis";#N/A,#N/A,FALSE,"Test 120 Day Accts";#N/A,#N/A,FALSE,"Tickmarks"}</definedName>
    <definedName name="hm" localSheetId="3" hidden="1">{#N/A,#N/A,FALSE,"Aging Summary";#N/A,#N/A,FALSE,"Ratio Analysis";#N/A,#N/A,FALSE,"Test 120 Day Accts";#N/A,#N/A,FALSE,"Tickmarks"}</definedName>
    <definedName name="hm" localSheetId="8" hidden="1">{#N/A,#N/A,FALSE,"Aging Summary";#N/A,#N/A,FALSE,"Ratio Analysis";#N/A,#N/A,FALSE,"Test 120 Day Accts";#N/A,#N/A,FALSE,"Tickmarks"}</definedName>
    <definedName name="hm" localSheetId="11" hidden="1">{#N/A,#N/A,FALSE,"Aging Summary";#N/A,#N/A,FALSE,"Ratio Analysis";#N/A,#N/A,FALSE,"Test 120 Day Accts";#N/A,#N/A,FALSE,"Tickmarks"}</definedName>
    <definedName name="hm" localSheetId="10" hidden="1">{#N/A,#N/A,FALSE,"Aging Summary";#N/A,#N/A,FALSE,"Ratio Analysis";#N/A,#N/A,FALSE,"Test 120 Day Accts";#N/A,#N/A,FALSE,"Tickmarks"}</definedName>
    <definedName name="hm" localSheetId="7" hidden="1">{#N/A,#N/A,FALSE,"Aging Summary";#N/A,#N/A,FALSE,"Ratio Analysis";#N/A,#N/A,FALSE,"Test 120 Day Accts";#N/A,#N/A,FALSE,"Tickmarks"}</definedName>
    <definedName name="hm" localSheetId="14" hidden="1">{#N/A,#N/A,FALSE,"Aging Summary";#N/A,#N/A,FALSE,"Ratio Analysis";#N/A,#N/A,FALSE,"Test 120 Day Accts";#N/A,#N/A,FALSE,"Tickmarks"}</definedName>
    <definedName name="hm" hidden="1">{#N/A,#N/A,FALSE,"Aging Summary";#N/A,#N/A,FALSE,"Ratio Analysis";#N/A,#N/A,FALSE,"Test 120 Day Accts";#N/A,#N/A,FALSE,"Tickmarks"}</definedName>
    <definedName name="hy" localSheetId="6" hidden="1">{#N/A,#N/A,FALSE,"Aging Summary";#N/A,#N/A,FALSE,"Ratio Analysis";#N/A,#N/A,FALSE,"Test 120 Day Accts";#N/A,#N/A,FALSE,"Tickmarks"}</definedName>
    <definedName name="hy" localSheetId="16" hidden="1">{#N/A,#N/A,FALSE,"Aging Summary";#N/A,#N/A,FALSE,"Ratio Analysis";#N/A,#N/A,FALSE,"Test 120 Day Accts";#N/A,#N/A,FALSE,"Tickmarks"}</definedName>
    <definedName name="hy" localSheetId="13" hidden="1">{#N/A,#N/A,FALSE,"Aging Summary";#N/A,#N/A,FALSE,"Ratio Analysis";#N/A,#N/A,FALSE,"Test 120 Day Accts";#N/A,#N/A,FALSE,"Tickmarks"}</definedName>
    <definedName name="hy" localSheetId="12" hidden="1">{#N/A,#N/A,FALSE,"Aging Summary";#N/A,#N/A,FALSE,"Ratio Analysis";#N/A,#N/A,FALSE,"Test 120 Day Accts";#N/A,#N/A,FALSE,"Tickmarks"}</definedName>
    <definedName name="hy" localSheetId="2" hidden="1">{#N/A,#N/A,FALSE,"Aging Summary";#N/A,#N/A,FALSE,"Ratio Analysis";#N/A,#N/A,FALSE,"Test 120 Day Accts";#N/A,#N/A,FALSE,"Tickmarks"}</definedName>
    <definedName name="hy" localSheetId="15" hidden="1">{#N/A,#N/A,FALSE,"Aging Summary";#N/A,#N/A,FALSE,"Ratio Analysis";#N/A,#N/A,FALSE,"Test 120 Day Accts";#N/A,#N/A,FALSE,"Tickmarks"}</definedName>
    <definedName name="hy" localSheetId="5" hidden="1">{#N/A,#N/A,FALSE,"Aging Summary";#N/A,#N/A,FALSE,"Ratio Analysis";#N/A,#N/A,FALSE,"Test 120 Day Accts";#N/A,#N/A,FALSE,"Tickmarks"}</definedName>
    <definedName name="hy" localSheetId="4" hidden="1">{#N/A,#N/A,FALSE,"Aging Summary";#N/A,#N/A,FALSE,"Ratio Analysis";#N/A,#N/A,FALSE,"Test 120 Day Accts";#N/A,#N/A,FALSE,"Tickmarks"}</definedName>
    <definedName name="hy" localSheetId="9" hidden="1">{#N/A,#N/A,FALSE,"Aging Summary";#N/A,#N/A,FALSE,"Ratio Analysis";#N/A,#N/A,FALSE,"Test 120 Day Accts";#N/A,#N/A,FALSE,"Tickmarks"}</definedName>
    <definedName name="hy" localSheetId="3" hidden="1">{#N/A,#N/A,FALSE,"Aging Summary";#N/A,#N/A,FALSE,"Ratio Analysis";#N/A,#N/A,FALSE,"Test 120 Day Accts";#N/A,#N/A,FALSE,"Tickmarks"}</definedName>
    <definedName name="hy" localSheetId="8" hidden="1">{#N/A,#N/A,FALSE,"Aging Summary";#N/A,#N/A,FALSE,"Ratio Analysis";#N/A,#N/A,FALSE,"Test 120 Day Accts";#N/A,#N/A,FALSE,"Tickmarks"}</definedName>
    <definedName name="hy" localSheetId="11" hidden="1">{#N/A,#N/A,FALSE,"Aging Summary";#N/A,#N/A,FALSE,"Ratio Analysis";#N/A,#N/A,FALSE,"Test 120 Day Accts";#N/A,#N/A,FALSE,"Tickmarks"}</definedName>
    <definedName name="hy" localSheetId="10" hidden="1">{#N/A,#N/A,FALSE,"Aging Summary";#N/A,#N/A,FALSE,"Ratio Analysis";#N/A,#N/A,FALSE,"Test 120 Day Accts";#N/A,#N/A,FALSE,"Tickmarks"}</definedName>
    <definedName name="hy" localSheetId="7" hidden="1">{#N/A,#N/A,FALSE,"Aging Summary";#N/A,#N/A,FALSE,"Ratio Analysis";#N/A,#N/A,FALSE,"Test 120 Day Accts";#N/A,#N/A,FALSE,"Tickmarks"}</definedName>
    <definedName name="hy" localSheetId="14" hidden="1">{#N/A,#N/A,FALSE,"Aging Summary";#N/A,#N/A,FALSE,"Ratio Analysis";#N/A,#N/A,FALSE,"Test 120 Day Accts";#N/A,#N/A,FALSE,"Tickmarks"}</definedName>
    <definedName name="hy" hidden="1">{#N/A,#N/A,FALSE,"Aging Summary";#N/A,#N/A,FALSE,"Ratio Analysis";#N/A,#N/A,FALSE,"Test 120 Day Accts";#N/A,#N/A,FALSE,"Tickmarks"}</definedName>
    <definedName name="Imagen">OFFSET(#REF!,MATCH(#REF!,lista,0)-1,0,1,1)</definedName>
    <definedName name="j.noya" localSheetId="6">#REF!</definedName>
    <definedName name="j.noya" localSheetId="16">#REF!</definedName>
    <definedName name="j.noya" localSheetId="13">#REF!</definedName>
    <definedName name="j.noya" localSheetId="12">#REF!</definedName>
    <definedName name="j.noya" localSheetId="2">#REF!</definedName>
    <definedName name="j.noya" localSheetId="15">#REF!</definedName>
    <definedName name="j.noya" localSheetId="5">#REF!</definedName>
    <definedName name="j.noya" localSheetId="4">#REF!</definedName>
    <definedName name="j.noya" localSheetId="9">#REF!</definedName>
    <definedName name="j.noya" localSheetId="3">#REF!</definedName>
    <definedName name="j.noya" localSheetId="8">#REF!</definedName>
    <definedName name="j.noya" localSheetId="11">#REF!</definedName>
    <definedName name="j.noya" localSheetId="10">#REF!</definedName>
    <definedName name="j.noya" localSheetId="7">#REF!</definedName>
    <definedName name="j.noya" localSheetId="14">#REF!</definedName>
    <definedName name="j.noya">#REF!</definedName>
    <definedName name="juan" localSheetId="6">#REF!</definedName>
    <definedName name="juan" localSheetId="16">#REF!</definedName>
    <definedName name="juan" localSheetId="13">#REF!</definedName>
    <definedName name="juan" localSheetId="12">#REF!</definedName>
    <definedName name="juan" localSheetId="2">#REF!</definedName>
    <definedName name="juan" localSheetId="15">#REF!</definedName>
    <definedName name="juan" localSheetId="5">#REF!</definedName>
    <definedName name="juan" localSheetId="4">#REF!</definedName>
    <definedName name="juan" localSheetId="9">#REF!</definedName>
    <definedName name="juan" localSheetId="3">#REF!</definedName>
    <definedName name="juan" localSheetId="8">#REF!</definedName>
    <definedName name="juan" localSheetId="11">#REF!</definedName>
    <definedName name="juan" localSheetId="10">#REF!</definedName>
    <definedName name="juan" localSheetId="7">#REF!</definedName>
    <definedName name="juan" localSheetId="14">#REF!</definedName>
    <definedName name="juan">#REF!</definedName>
    <definedName name="LABOCLINICO" localSheetId="6" hidden="1">{#N/A,#N/A,FALSE,"Aging Summary";#N/A,#N/A,FALSE,"Ratio Analysis";#N/A,#N/A,FALSE,"Test 120 Day Accts";#N/A,#N/A,FALSE,"Tickmarks"}</definedName>
    <definedName name="LABOCLINICO" localSheetId="16" hidden="1">{#N/A,#N/A,FALSE,"Aging Summary";#N/A,#N/A,FALSE,"Ratio Analysis";#N/A,#N/A,FALSE,"Test 120 Day Accts";#N/A,#N/A,FALSE,"Tickmarks"}</definedName>
    <definedName name="LABOCLINICO" localSheetId="13" hidden="1">{#N/A,#N/A,FALSE,"Aging Summary";#N/A,#N/A,FALSE,"Ratio Analysis";#N/A,#N/A,FALSE,"Test 120 Day Accts";#N/A,#N/A,FALSE,"Tickmarks"}</definedName>
    <definedName name="LABOCLINICO" localSheetId="12" hidden="1">{#N/A,#N/A,FALSE,"Aging Summary";#N/A,#N/A,FALSE,"Ratio Analysis";#N/A,#N/A,FALSE,"Test 120 Day Accts";#N/A,#N/A,FALSE,"Tickmarks"}</definedName>
    <definedName name="LABOCLINICO" localSheetId="2" hidden="1">{#N/A,#N/A,FALSE,"Aging Summary";#N/A,#N/A,FALSE,"Ratio Analysis";#N/A,#N/A,FALSE,"Test 120 Day Accts";#N/A,#N/A,FALSE,"Tickmarks"}</definedName>
    <definedName name="LABOCLINICO" localSheetId="15" hidden="1">{#N/A,#N/A,FALSE,"Aging Summary";#N/A,#N/A,FALSE,"Ratio Analysis";#N/A,#N/A,FALSE,"Test 120 Day Accts";#N/A,#N/A,FALSE,"Tickmarks"}</definedName>
    <definedName name="LABOCLINICO" localSheetId="5" hidden="1">{#N/A,#N/A,FALSE,"Aging Summary";#N/A,#N/A,FALSE,"Ratio Analysis";#N/A,#N/A,FALSE,"Test 120 Day Accts";#N/A,#N/A,FALSE,"Tickmarks"}</definedName>
    <definedName name="LABOCLINICO" localSheetId="4" hidden="1">{#N/A,#N/A,FALSE,"Aging Summary";#N/A,#N/A,FALSE,"Ratio Analysis";#N/A,#N/A,FALSE,"Test 120 Day Accts";#N/A,#N/A,FALSE,"Tickmarks"}</definedName>
    <definedName name="LABOCLINICO" localSheetId="9" hidden="1">{#N/A,#N/A,FALSE,"Aging Summary";#N/A,#N/A,FALSE,"Ratio Analysis";#N/A,#N/A,FALSE,"Test 120 Day Accts";#N/A,#N/A,FALSE,"Tickmarks"}</definedName>
    <definedName name="LABOCLINICO" localSheetId="3" hidden="1">{#N/A,#N/A,FALSE,"Aging Summary";#N/A,#N/A,FALSE,"Ratio Analysis";#N/A,#N/A,FALSE,"Test 120 Day Accts";#N/A,#N/A,FALSE,"Tickmarks"}</definedName>
    <definedName name="LABOCLINICO" localSheetId="8" hidden="1">{#N/A,#N/A,FALSE,"Aging Summary";#N/A,#N/A,FALSE,"Ratio Analysis";#N/A,#N/A,FALSE,"Test 120 Day Accts";#N/A,#N/A,FALSE,"Tickmarks"}</definedName>
    <definedName name="LABOCLINICO" localSheetId="11" hidden="1">{#N/A,#N/A,FALSE,"Aging Summary";#N/A,#N/A,FALSE,"Ratio Analysis";#N/A,#N/A,FALSE,"Test 120 Day Accts";#N/A,#N/A,FALSE,"Tickmarks"}</definedName>
    <definedName name="LABOCLINICO" localSheetId="10" hidden="1">{#N/A,#N/A,FALSE,"Aging Summary";#N/A,#N/A,FALSE,"Ratio Analysis";#N/A,#N/A,FALSE,"Test 120 Day Accts";#N/A,#N/A,FALSE,"Tickmarks"}</definedName>
    <definedName name="LABOCLINICO" localSheetId="7" hidden="1">{#N/A,#N/A,FALSE,"Aging Summary";#N/A,#N/A,FALSE,"Ratio Analysis";#N/A,#N/A,FALSE,"Test 120 Day Accts";#N/A,#N/A,FALSE,"Tickmarks"}</definedName>
    <definedName name="LABOCLINICO" localSheetId="14" hidden="1">{#N/A,#N/A,FALSE,"Aging Summary";#N/A,#N/A,FALSE,"Ratio Analysis";#N/A,#N/A,FALSE,"Test 120 Day Accts";#N/A,#N/A,FALSE,"Tickmarks"}</definedName>
    <definedName name="LABOCLINICO" hidden="1">{#N/A,#N/A,FALSE,"Aging Summary";#N/A,#N/A,FALSE,"Ratio Analysis";#N/A,#N/A,FALSE,"Test 120 Day Accts";#N/A,#N/A,FALSE,"Tickmarks"}</definedName>
    <definedName name="LABOCLINICO1" localSheetId="6" hidden="1">{#N/A,#N/A,FALSE,"Aging Summary";#N/A,#N/A,FALSE,"Ratio Analysis";#N/A,#N/A,FALSE,"Test 120 Day Accts";#N/A,#N/A,FALSE,"Tickmarks"}</definedName>
    <definedName name="LABOCLINICO1" localSheetId="16" hidden="1">{#N/A,#N/A,FALSE,"Aging Summary";#N/A,#N/A,FALSE,"Ratio Analysis";#N/A,#N/A,FALSE,"Test 120 Day Accts";#N/A,#N/A,FALSE,"Tickmarks"}</definedName>
    <definedName name="LABOCLINICO1" localSheetId="13" hidden="1">{#N/A,#N/A,FALSE,"Aging Summary";#N/A,#N/A,FALSE,"Ratio Analysis";#N/A,#N/A,FALSE,"Test 120 Day Accts";#N/A,#N/A,FALSE,"Tickmarks"}</definedName>
    <definedName name="LABOCLINICO1" localSheetId="12" hidden="1">{#N/A,#N/A,FALSE,"Aging Summary";#N/A,#N/A,FALSE,"Ratio Analysis";#N/A,#N/A,FALSE,"Test 120 Day Accts";#N/A,#N/A,FALSE,"Tickmarks"}</definedName>
    <definedName name="LABOCLINICO1" localSheetId="2" hidden="1">{#N/A,#N/A,FALSE,"Aging Summary";#N/A,#N/A,FALSE,"Ratio Analysis";#N/A,#N/A,FALSE,"Test 120 Day Accts";#N/A,#N/A,FALSE,"Tickmarks"}</definedName>
    <definedName name="LABOCLINICO1" localSheetId="15" hidden="1">{#N/A,#N/A,FALSE,"Aging Summary";#N/A,#N/A,FALSE,"Ratio Analysis";#N/A,#N/A,FALSE,"Test 120 Day Accts";#N/A,#N/A,FALSE,"Tickmarks"}</definedName>
    <definedName name="LABOCLINICO1" localSheetId="5" hidden="1">{#N/A,#N/A,FALSE,"Aging Summary";#N/A,#N/A,FALSE,"Ratio Analysis";#N/A,#N/A,FALSE,"Test 120 Day Accts";#N/A,#N/A,FALSE,"Tickmarks"}</definedName>
    <definedName name="LABOCLINICO1" localSheetId="4" hidden="1">{#N/A,#N/A,FALSE,"Aging Summary";#N/A,#N/A,FALSE,"Ratio Analysis";#N/A,#N/A,FALSE,"Test 120 Day Accts";#N/A,#N/A,FALSE,"Tickmarks"}</definedName>
    <definedName name="LABOCLINICO1" localSheetId="9" hidden="1">{#N/A,#N/A,FALSE,"Aging Summary";#N/A,#N/A,FALSE,"Ratio Analysis";#N/A,#N/A,FALSE,"Test 120 Day Accts";#N/A,#N/A,FALSE,"Tickmarks"}</definedName>
    <definedName name="LABOCLINICO1" localSheetId="3" hidden="1">{#N/A,#N/A,FALSE,"Aging Summary";#N/A,#N/A,FALSE,"Ratio Analysis";#N/A,#N/A,FALSE,"Test 120 Day Accts";#N/A,#N/A,FALSE,"Tickmarks"}</definedName>
    <definedName name="LABOCLINICO1" localSheetId="8" hidden="1">{#N/A,#N/A,FALSE,"Aging Summary";#N/A,#N/A,FALSE,"Ratio Analysis";#N/A,#N/A,FALSE,"Test 120 Day Accts";#N/A,#N/A,FALSE,"Tickmarks"}</definedName>
    <definedName name="LABOCLINICO1" localSheetId="11" hidden="1">{#N/A,#N/A,FALSE,"Aging Summary";#N/A,#N/A,FALSE,"Ratio Analysis";#N/A,#N/A,FALSE,"Test 120 Day Accts";#N/A,#N/A,FALSE,"Tickmarks"}</definedName>
    <definedName name="LABOCLINICO1" localSheetId="10" hidden="1">{#N/A,#N/A,FALSE,"Aging Summary";#N/A,#N/A,FALSE,"Ratio Analysis";#N/A,#N/A,FALSE,"Test 120 Day Accts";#N/A,#N/A,FALSE,"Tickmarks"}</definedName>
    <definedName name="LABOCLINICO1" localSheetId="7" hidden="1">{#N/A,#N/A,FALSE,"Aging Summary";#N/A,#N/A,FALSE,"Ratio Analysis";#N/A,#N/A,FALSE,"Test 120 Day Accts";#N/A,#N/A,FALSE,"Tickmarks"}</definedName>
    <definedName name="LABOCLINICO1" localSheetId="14" hidden="1">{#N/A,#N/A,FALSE,"Aging Summary";#N/A,#N/A,FALSE,"Ratio Analysis";#N/A,#N/A,FALSE,"Test 120 Day Accts";#N/A,#N/A,FALSE,"Tickmarks"}</definedName>
    <definedName name="LABOCLINICO1" hidden="1">{#N/A,#N/A,FALSE,"Aging Summary";#N/A,#N/A,FALSE,"Ratio Analysis";#N/A,#N/A,FALSE,"Test 120 Day Accts";#N/A,#N/A,FALSE,"Tickmarks"}</definedName>
    <definedName name="LABORATORIO" localSheetId="6" hidden="1">{#N/A,#N/A,FALSE,"Aging Summary";#N/A,#N/A,FALSE,"Ratio Analysis";#N/A,#N/A,FALSE,"Test 120 Day Accts";#N/A,#N/A,FALSE,"Tickmarks"}</definedName>
    <definedName name="LABORATORIO" localSheetId="16" hidden="1">{#N/A,#N/A,FALSE,"Aging Summary";#N/A,#N/A,FALSE,"Ratio Analysis";#N/A,#N/A,FALSE,"Test 120 Day Accts";#N/A,#N/A,FALSE,"Tickmarks"}</definedName>
    <definedName name="LABORATORIO" localSheetId="13" hidden="1">{#N/A,#N/A,FALSE,"Aging Summary";#N/A,#N/A,FALSE,"Ratio Analysis";#N/A,#N/A,FALSE,"Test 120 Day Accts";#N/A,#N/A,FALSE,"Tickmarks"}</definedName>
    <definedName name="LABORATORIO" localSheetId="12" hidden="1">{#N/A,#N/A,FALSE,"Aging Summary";#N/A,#N/A,FALSE,"Ratio Analysis";#N/A,#N/A,FALSE,"Test 120 Day Accts";#N/A,#N/A,FALSE,"Tickmarks"}</definedName>
    <definedName name="LABORATORIO" localSheetId="2" hidden="1">{#N/A,#N/A,FALSE,"Aging Summary";#N/A,#N/A,FALSE,"Ratio Analysis";#N/A,#N/A,FALSE,"Test 120 Day Accts";#N/A,#N/A,FALSE,"Tickmarks"}</definedName>
    <definedName name="LABORATORIO" localSheetId="15" hidden="1">{#N/A,#N/A,FALSE,"Aging Summary";#N/A,#N/A,FALSE,"Ratio Analysis";#N/A,#N/A,FALSE,"Test 120 Day Accts";#N/A,#N/A,FALSE,"Tickmarks"}</definedName>
    <definedName name="LABORATORIO" localSheetId="5" hidden="1">{#N/A,#N/A,FALSE,"Aging Summary";#N/A,#N/A,FALSE,"Ratio Analysis";#N/A,#N/A,FALSE,"Test 120 Day Accts";#N/A,#N/A,FALSE,"Tickmarks"}</definedName>
    <definedName name="LABORATORIO" localSheetId="4" hidden="1">{#N/A,#N/A,FALSE,"Aging Summary";#N/A,#N/A,FALSE,"Ratio Analysis";#N/A,#N/A,FALSE,"Test 120 Day Accts";#N/A,#N/A,FALSE,"Tickmarks"}</definedName>
    <definedName name="LABORATORIO" localSheetId="9" hidden="1">{#N/A,#N/A,FALSE,"Aging Summary";#N/A,#N/A,FALSE,"Ratio Analysis";#N/A,#N/A,FALSE,"Test 120 Day Accts";#N/A,#N/A,FALSE,"Tickmarks"}</definedName>
    <definedName name="LABORATORIO" localSheetId="3" hidden="1">{#N/A,#N/A,FALSE,"Aging Summary";#N/A,#N/A,FALSE,"Ratio Analysis";#N/A,#N/A,FALSE,"Test 120 Day Accts";#N/A,#N/A,FALSE,"Tickmarks"}</definedName>
    <definedName name="LABORATORIO" localSheetId="8" hidden="1">{#N/A,#N/A,FALSE,"Aging Summary";#N/A,#N/A,FALSE,"Ratio Analysis";#N/A,#N/A,FALSE,"Test 120 Day Accts";#N/A,#N/A,FALSE,"Tickmarks"}</definedName>
    <definedName name="LABORATORIO" localSheetId="11" hidden="1">{#N/A,#N/A,FALSE,"Aging Summary";#N/A,#N/A,FALSE,"Ratio Analysis";#N/A,#N/A,FALSE,"Test 120 Day Accts";#N/A,#N/A,FALSE,"Tickmarks"}</definedName>
    <definedName name="LABORATORIO" localSheetId="10" hidden="1">{#N/A,#N/A,FALSE,"Aging Summary";#N/A,#N/A,FALSE,"Ratio Analysis";#N/A,#N/A,FALSE,"Test 120 Day Accts";#N/A,#N/A,FALSE,"Tickmarks"}</definedName>
    <definedName name="LABORATORIO" localSheetId="7" hidden="1">{#N/A,#N/A,FALSE,"Aging Summary";#N/A,#N/A,FALSE,"Ratio Analysis";#N/A,#N/A,FALSE,"Test 120 Day Accts";#N/A,#N/A,FALSE,"Tickmarks"}</definedName>
    <definedName name="LABORATORIO" localSheetId="14" hidden="1">{#N/A,#N/A,FALSE,"Aging Summary";#N/A,#N/A,FALSE,"Ratio Analysis";#N/A,#N/A,FALSE,"Test 120 Day Accts";#N/A,#N/A,FALSE,"Tickmarks"}</definedName>
    <definedName name="LABORATORIO" hidden="1">{#N/A,#N/A,FALSE,"Aging Summary";#N/A,#N/A,FALSE,"Ratio Analysis";#N/A,#N/A,FALSE,"Test 120 Day Accts";#N/A,#N/A,FALSE,"Tickmarks"}</definedName>
    <definedName name="Libro.1" localSheetId="6" hidden="1">{#N/A,#N/A,FALSE,"Aging Summary";#N/A,#N/A,FALSE,"Ratio Analysis";#N/A,#N/A,FALSE,"Test 120 Day Accts";#N/A,#N/A,FALSE,"Tickmarks"}</definedName>
    <definedName name="Libro.1" localSheetId="16" hidden="1">{#N/A,#N/A,FALSE,"Aging Summary";#N/A,#N/A,FALSE,"Ratio Analysis";#N/A,#N/A,FALSE,"Test 120 Day Accts";#N/A,#N/A,FALSE,"Tickmarks"}</definedName>
    <definedName name="Libro.1" localSheetId="13" hidden="1">{#N/A,#N/A,FALSE,"Aging Summary";#N/A,#N/A,FALSE,"Ratio Analysis";#N/A,#N/A,FALSE,"Test 120 Day Accts";#N/A,#N/A,FALSE,"Tickmarks"}</definedName>
    <definedName name="Libro.1" localSheetId="12" hidden="1">{#N/A,#N/A,FALSE,"Aging Summary";#N/A,#N/A,FALSE,"Ratio Analysis";#N/A,#N/A,FALSE,"Test 120 Day Accts";#N/A,#N/A,FALSE,"Tickmarks"}</definedName>
    <definedName name="Libro.1" localSheetId="2" hidden="1">{#N/A,#N/A,FALSE,"Aging Summary";#N/A,#N/A,FALSE,"Ratio Analysis";#N/A,#N/A,FALSE,"Test 120 Day Accts";#N/A,#N/A,FALSE,"Tickmarks"}</definedName>
    <definedName name="Libro.1" localSheetId="15" hidden="1">{#N/A,#N/A,FALSE,"Aging Summary";#N/A,#N/A,FALSE,"Ratio Analysis";#N/A,#N/A,FALSE,"Test 120 Day Accts";#N/A,#N/A,FALSE,"Tickmarks"}</definedName>
    <definedName name="Libro.1" localSheetId="5" hidden="1">{#N/A,#N/A,FALSE,"Aging Summary";#N/A,#N/A,FALSE,"Ratio Analysis";#N/A,#N/A,FALSE,"Test 120 Day Accts";#N/A,#N/A,FALSE,"Tickmarks"}</definedName>
    <definedName name="Libro.1" localSheetId="4" hidden="1">{#N/A,#N/A,FALSE,"Aging Summary";#N/A,#N/A,FALSE,"Ratio Analysis";#N/A,#N/A,FALSE,"Test 120 Day Accts";#N/A,#N/A,FALSE,"Tickmarks"}</definedName>
    <definedName name="Libro.1" localSheetId="9" hidden="1">{#N/A,#N/A,FALSE,"Aging Summary";#N/A,#N/A,FALSE,"Ratio Analysis";#N/A,#N/A,FALSE,"Test 120 Day Accts";#N/A,#N/A,FALSE,"Tickmarks"}</definedName>
    <definedName name="Libro.1" localSheetId="3" hidden="1">{#N/A,#N/A,FALSE,"Aging Summary";#N/A,#N/A,FALSE,"Ratio Analysis";#N/A,#N/A,FALSE,"Test 120 Day Accts";#N/A,#N/A,FALSE,"Tickmarks"}</definedName>
    <definedName name="Libro.1" localSheetId="8" hidden="1">{#N/A,#N/A,FALSE,"Aging Summary";#N/A,#N/A,FALSE,"Ratio Analysis";#N/A,#N/A,FALSE,"Test 120 Day Accts";#N/A,#N/A,FALSE,"Tickmarks"}</definedName>
    <definedName name="Libro.1" localSheetId="11" hidden="1">{#N/A,#N/A,FALSE,"Aging Summary";#N/A,#N/A,FALSE,"Ratio Analysis";#N/A,#N/A,FALSE,"Test 120 Day Accts";#N/A,#N/A,FALSE,"Tickmarks"}</definedName>
    <definedName name="Libro.1" localSheetId="10" hidden="1">{#N/A,#N/A,FALSE,"Aging Summary";#N/A,#N/A,FALSE,"Ratio Analysis";#N/A,#N/A,FALSE,"Test 120 Day Accts";#N/A,#N/A,FALSE,"Tickmarks"}</definedName>
    <definedName name="Libro.1" localSheetId="7" hidden="1">{#N/A,#N/A,FALSE,"Aging Summary";#N/A,#N/A,FALSE,"Ratio Analysis";#N/A,#N/A,FALSE,"Test 120 Day Accts";#N/A,#N/A,FALSE,"Tickmarks"}</definedName>
    <definedName name="Libro.1" localSheetId="14" hidden="1">{#N/A,#N/A,FALSE,"Aging Summary";#N/A,#N/A,FALSE,"Ratio Analysis";#N/A,#N/A,FALSE,"Test 120 Day Accts";#N/A,#N/A,FALSE,"Tickmarks"}</definedName>
    <definedName name="Libro.1" hidden="1">{#N/A,#N/A,FALSE,"Aging Summary";#N/A,#N/A,FALSE,"Ratio Analysis";#N/A,#N/A,FALSE,"Test 120 Day Accts";#N/A,#N/A,FALSE,"Tickmarks"}</definedName>
    <definedName name="lista">OFFSET(#REF!,0,0,4,1)</definedName>
    <definedName name="Lista.Variables" localSheetId="6">#REF!</definedName>
    <definedName name="Lista.Variables" localSheetId="16">#REF!</definedName>
    <definedName name="Lista.Variables" localSheetId="13">#REF!</definedName>
    <definedName name="Lista.Variables" localSheetId="12">#REF!</definedName>
    <definedName name="Lista.Variables" localSheetId="2">#REF!</definedName>
    <definedName name="Lista.Variables" localSheetId="15">#REF!</definedName>
    <definedName name="Lista.Variables" localSheetId="5">#REF!</definedName>
    <definedName name="Lista.Variables" localSheetId="4">#REF!</definedName>
    <definedName name="Lista.Variables" localSheetId="9">#REF!</definedName>
    <definedName name="Lista.Variables" localSheetId="3">#REF!</definedName>
    <definedName name="Lista.Variables" localSheetId="8">#REF!</definedName>
    <definedName name="Lista.Variables" localSheetId="11">#REF!</definedName>
    <definedName name="Lista.Variables" localSheetId="10">#REF!</definedName>
    <definedName name="Lista.Variables" localSheetId="7">#REF!</definedName>
    <definedName name="Lista.Variables" localSheetId="14">#REF!</definedName>
    <definedName name="Lista.Variables">#REF!</definedName>
    <definedName name="Lista.Variables2016" localSheetId="6">#REF!</definedName>
    <definedName name="Lista.Variables2016" localSheetId="16">#REF!</definedName>
    <definedName name="Lista.Variables2016" localSheetId="13">#REF!</definedName>
    <definedName name="Lista.Variables2016" localSheetId="12">#REF!</definedName>
    <definedName name="Lista.Variables2016" localSheetId="2">#REF!</definedName>
    <definedName name="Lista.Variables2016" localSheetId="15">#REF!</definedName>
    <definedName name="Lista.Variables2016" localSheetId="5">#REF!</definedName>
    <definedName name="Lista.Variables2016" localSheetId="4">#REF!</definedName>
    <definedName name="Lista.Variables2016" localSheetId="9">#REF!</definedName>
    <definedName name="Lista.Variables2016" localSheetId="3">#REF!</definedName>
    <definedName name="Lista.Variables2016" localSheetId="8">#REF!</definedName>
    <definedName name="Lista.Variables2016" localSheetId="11">#REF!</definedName>
    <definedName name="Lista.Variables2016" localSheetId="10">#REF!</definedName>
    <definedName name="Lista.Variables2016" localSheetId="7">#REF!</definedName>
    <definedName name="Lista.Variables2016" localSheetId="14">#REF!</definedName>
    <definedName name="Lista.Variables2016">#REF!</definedName>
    <definedName name="listclientes">OFFSET(#REF!,,,COUNTA(#REF!))</definedName>
    <definedName name="listproductos">OFFSET(#REF!,,,COUNTA(#REF!))</definedName>
    <definedName name="lsj" localSheetId="6" hidden="1">{#N/A,#N/A,FALSE,"Aging Summary";#N/A,#N/A,FALSE,"Ratio Analysis";#N/A,#N/A,FALSE,"Test 120 Day Accts";#N/A,#N/A,FALSE,"Tickmarks"}</definedName>
    <definedName name="lsj" localSheetId="16" hidden="1">{#N/A,#N/A,FALSE,"Aging Summary";#N/A,#N/A,FALSE,"Ratio Analysis";#N/A,#N/A,FALSE,"Test 120 Day Accts";#N/A,#N/A,FALSE,"Tickmarks"}</definedName>
    <definedName name="lsj" localSheetId="13" hidden="1">{#N/A,#N/A,FALSE,"Aging Summary";#N/A,#N/A,FALSE,"Ratio Analysis";#N/A,#N/A,FALSE,"Test 120 Day Accts";#N/A,#N/A,FALSE,"Tickmarks"}</definedName>
    <definedName name="lsj" localSheetId="12" hidden="1">{#N/A,#N/A,FALSE,"Aging Summary";#N/A,#N/A,FALSE,"Ratio Analysis";#N/A,#N/A,FALSE,"Test 120 Day Accts";#N/A,#N/A,FALSE,"Tickmarks"}</definedName>
    <definedName name="lsj" localSheetId="2" hidden="1">{#N/A,#N/A,FALSE,"Aging Summary";#N/A,#N/A,FALSE,"Ratio Analysis";#N/A,#N/A,FALSE,"Test 120 Day Accts";#N/A,#N/A,FALSE,"Tickmarks"}</definedName>
    <definedName name="lsj" localSheetId="15" hidden="1">{#N/A,#N/A,FALSE,"Aging Summary";#N/A,#N/A,FALSE,"Ratio Analysis";#N/A,#N/A,FALSE,"Test 120 Day Accts";#N/A,#N/A,FALSE,"Tickmarks"}</definedName>
    <definedName name="lsj" localSheetId="5" hidden="1">{#N/A,#N/A,FALSE,"Aging Summary";#N/A,#N/A,FALSE,"Ratio Analysis";#N/A,#N/A,FALSE,"Test 120 Day Accts";#N/A,#N/A,FALSE,"Tickmarks"}</definedName>
    <definedName name="lsj" localSheetId="4" hidden="1">{#N/A,#N/A,FALSE,"Aging Summary";#N/A,#N/A,FALSE,"Ratio Analysis";#N/A,#N/A,FALSE,"Test 120 Day Accts";#N/A,#N/A,FALSE,"Tickmarks"}</definedName>
    <definedName name="lsj" localSheetId="9" hidden="1">{#N/A,#N/A,FALSE,"Aging Summary";#N/A,#N/A,FALSE,"Ratio Analysis";#N/A,#N/A,FALSE,"Test 120 Day Accts";#N/A,#N/A,FALSE,"Tickmarks"}</definedName>
    <definedName name="lsj" localSheetId="3" hidden="1">{#N/A,#N/A,FALSE,"Aging Summary";#N/A,#N/A,FALSE,"Ratio Analysis";#N/A,#N/A,FALSE,"Test 120 Day Accts";#N/A,#N/A,FALSE,"Tickmarks"}</definedName>
    <definedName name="lsj" localSheetId="8" hidden="1">{#N/A,#N/A,FALSE,"Aging Summary";#N/A,#N/A,FALSE,"Ratio Analysis";#N/A,#N/A,FALSE,"Test 120 Day Accts";#N/A,#N/A,FALSE,"Tickmarks"}</definedName>
    <definedName name="lsj" localSheetId="11" hidden="1">{#N/A,#N/A,FALSE,"Aging Summary";#N/A,#N/A,FALSE,"Ratio Analysis";#N/A,#N/A,FALSE,"Test 120 Day Accts";#N/A,#N/A,FALSE,"Tickmarks"}</definedName>
    <definedName name="lsj" localSheetId="10" hidden="1">{#N/A,#N/A,FALSE,"Aging Summary";#N/A,#N/A,FALSE,"Ratio Analysis";#N/A,#N/A,FALSE,"Test 120 Day Accts";#N/A,#N/A,FALSE,"Tickmarks"}</definedName>
    <definedName name="lsj" localSheetId="7" hidden="1">{#N/A,#N/A,FALSE,"Aging Summary";#N/A,#N/A,FALSE,"Ratio Analysis";#N/A,#N/A,FALSE,"Test 120 Day Accts";#N/A,#N/A,FALSE,"Tickmarks"}</definedName>
    <definedName name="lsj" localSheetId="14" hidden="1">{#N/A,#N/A,FALSE,"Aging Summary";#N/A,#N/A,FALSE,"Ratio Analysis";#N/A,#N/A,FALSE,"Test 120 Day Accts";#N/A,#N/A,FALSE,"Tickmarks"}</definedName>
    <definedName name="lsj" hidden="1">{#N/A,#N/A,FALSE,"Aging Summary";#N/A,#N/A,FALSE,"Ratio Analysis";#N/A,#N/A,FALSE,"Test 120 Day Accts";#N/A,#N/A,FALSE,"Tickmarks"}</definedName>
    <definedName name="m.osorio" localSheetId="6">#REF!</definedName>
    <definedName name="m.osorio" localSheetId="16">#REF!</definedName>
    <definedName name="m.osorio" localSheetId="13">#REF!</definedName>
    <definedName name="m.osorio" localSheetId="12">#REF!</definedName>
    <definedName name="m.osorio" localSheetId="2">#REF!</definedName>
    <definedName name="m.osorio" localSheetId="15">#REF!</definedName>
    <definedName name="m.osorio" localSheetId="5">#REF!</definedName>
    <definedName name="m.osorio" localSheetId="4">#REF!</definedName>
    <definedName name="m.osorio" localSheetId="9">#REF!</definedName>
    <definedName name="m.osorio" localSheetId="3">#REF!</definedName>
    <definedName name="m.osorio" localSheetId="8">#REF!</definedName>
    <definedName name="m.osorio" localSheetId="11">#REF!</definedName>
    <definedName name="m.osorio" localSheetId="10">#REF!</definedName>
    <definedName name="m.osorio" localSheetId="7">#REF!</definedName>
    <definedName name="m.osorio" localSheetId="14">#REF!</definedName>
    <definedName name="m.osorio">#REF!</definedName>
    <definedName name="Maritza" localSheetId="6">#REF!</definedName>
    <definedName name="Maritza" localSheetId="16">#REF!</definedName>
    <definedName name="Maritza" localSheetId="13">#REF!</definedName>
    <definedName name="Maritza" localSheetId="12">#REF!</definedName>
    <definedName name="Maritza" localSheetId="2">#REF!</definedName>
    <definedName name="Maritza" localSheetId="15">#REF!</definedName>
    <definedName name="Maritza" localSheetId="5">#REF!</definedName>
    <definedName name="Maritza" localSheetId="4">#REF!</definedName>
    <definedName name="Maritza" localSheetId="9">#REF!</definedName>
    <definedName name="Maritza" localSheetId="3">#REF!</definedName>
    <definedName name="Maritza" localSheetId="8">#REF!</definedName>
    <definedName name="Maritza" localSheetId="11">#REF!</definedName>
    <definedName name="Maritza" localSheetId="10">#REF!</definedName>
    <definedName name="Maritza" localSheetId="7">#REF!</definedName>
    <definedName name="Maritza" localSheetId="14">#REF!</definedName>
    <definedName name="Maritza">#REF!</definedName>
    <definedName name="mat" localSheetId="6">#REF!</definedName>
    <definedName name="mat" localSheetId="16">#REF!</definedName>
    <definedName name="mat" localSheetId="13">#REF!</definedName>
    <definedName name="mat" localSheetId="12">#REF!</definedName>
    <definedName name="mat" localSheetId="2">#REF!</definedName>
    <definedName name="mat" localSheetId="15">#REF!</definedName>
    <definedName name="mat" localSheetId="5">#REF!</definedName>
    <definedName name="mat" localSheetId="4">#REF!</definedName>
    <definedName name="mat" localSheetId="9">#REF!</definedName>
    <definedName name="mat" localSheetId="3">#REF!</definedName>
    <definedName name="mat" localSheetId="8">#REF!</definedName>
    <definedName name="mat" localSheetId="11">#REF!</definedName>
    <definedName name="mat" localSheetId="10">#REF!</definedName>
    <definedName name="mat" localSheetId="7">#REF!</definedName>
    <definedName name="mat" localSheetId="14">#REF!</definedName>
    <definedName name="mat">#REF!</definedName>
    <definedName name="medida" localSheetId="6">#REF!</definedName>
    <definedName name="medida" localSheetId="16">#REF!</definedName>
    <definedName name="medida" localSheetId="13">#REF!</definedName>
    <definedName name="medida" localSheetId="12">#REF!</definedName>
    <definedName name="medida" localSheetId="2">#REF!</definedName>
    <definedName name="medida" localSheetId="15">#REF!</definedName>
    <definedName name="medida" localSheetId="5">#REF!</definedName>
    <definedName name="medida" localSheetId="4">#REF!</definedName>
    <definedName name="medida" localSheetId="9">#REF!</definedName>
    <definedName name="medida" localSheetId="3">#REF!</definedName>
    <definedName name="medida" localSheetId="8">#REF!</definedName>
    <definedName name="medida" localSheetId="11">#REF!</definedName>
    <definedName name="medida" localSheetId="10">#REF!</definedName>
    <definedName name="medida" localSheetId="7">#REF!</definedName>
    <definedName name="medida" localSheetId="14">#REF!</definedName>
    <definedName name="medida">#REF!</definedName>
    <definedName name="meses" localSheetId="6">#REF!</definedName>
    <definedName name="meses" localSheetId="16">#REF!</definedName>
    <definedName name="meses" localSheetId="13">#REF!</definedName>
    <definedName name="meses" localSheetId="12">#REF!</definedName>
    <definedName name="meses" localSheetId="2">#REF!</definedName>
    <definedName name="meses" localSheetId="15">#REF!</definedName>
    <definedName name="meses" localSheetId="5">#REF!</definedName>
    <definedName name="meses" localSheetId="4">#REF!</definedName>
    <definedName name="meses" localSheetId="9">#REF!</definedName>
    <definedName name="meses" localSheetId="3">#REF!</definedName>
    <definedName name="meses" localSheetId="8">#REF!</definedName>
    <definedName name="meses" localSheetId="11">#REF!</definedName>
    <definedName name="meses" localSheetId="10">#REF!</definedName>
    <definedName name="meses" localSheetId="7">#REF!</definedName>
    <definedName name="meses" localSheetId="14">#REF!</definedName>
    <definedName name="meses">#REF!</definedName>
    <definedName name="modopago" localSheetId="6">#REF!</definedName>
    <definedName name="modopago" localSheetId="16">#REF!</definedName>
    <definedName name="modopago" localSheetId="13">#REF!</definedName>
    <definedName name="modopago" localSheetId="12">#REF!</definedName>
    <definedName name="modopago" localSheetId="2">#REF!</definedName>
    <definedName name="modopago" localSheetId="15">#REF!</definedName>
    <definedName name="modopago" localSheetId="5">#REF!</definedName>
    <definedName name="modopago" localSheetId="4">#REF!</definedName>
    <definedName name="modopago" localSheetId="9">#REF!</definedName>
    <definedName name="modopago" localSheetId="3">#REF!</definedName>
    <definedName name="modopago" localSheetId="8">#REF!</definedName>
    <definedName name="modopago" localSheetId="11">#REF!</definedName>
    <definedName name="modopago" localSheetId="10">#REF!</definedName>
    <definedName name="modopago" localSheetId="7">#REF!</definedName>
    <definedName name="modopago" localSheetId="14">#REF!</definedName>
    <definedName name="modopago">#REF!</definedName>
    <definedName name="neura" localSheetId="6">#REF!</definedName>
    <definedName name="neura" localSheetId="16">#REF!</definedName>
    <definedName name="neura" localSheetId="13">#REF!</definedName>
    <definedName name="neura" localSheetId="12">#REF!</definedName>
    <definedName name="neura" localSheetId="2">#REF!</definedName>
    <definedName name="neura" localSheetId="15">#REF!</definedName>
    <definedName name="neura" localSheetId="5">#REF!</definedName>
    <definedName name="neura" localSheetId="4">#REF!</definedName>
    <definedName name="neura" localSheetId="9">#REF!</definedName>
    <definedName name="neura" localSheetId="3">#REF!</definedName>
    <definedName name="neura" localSheetId="8">#REF!</definedName>
    <definedName name="neura" localSheetId="11">#REF!</definedName>
    <definedName name="neura" localSheetId="10">#REF!</definedName>
    <definedName name="neura" localSheetId="7">#REF!</definedName>
    <definedName name="neura" localSheetId="14">#REF!</definedName>
    <definedName name="neura">#REF!</definedName>
    <definedName name="ninguna" localSheetId="6">#REF!</definedName>
    <definedName name="ninguna" localSheetId="16">#REF!</definedName>
    <definedName name="ninguna" localSheetId="13">#REF!</definedName>
    <definedName name="ninguna" localSheetId="12">#REF!</definedName>
    <definedName name="ninguna" localSheetId="2">#REF!</definedName>
    <definedName name="ninguna" localSheetId="15">#REF!</definedName>
    <definedName name="ninguna" localSheetId="5">#REF!</definedName>
    <definedName name="ninguna" localSheetId="4">#REF!</definedName>
    <definedName name="ninguna" localSheetId="9">#REF!</definedName>
    <definedName name="ninguna" localSheetId="3">#REF!</definedName>
    <definedName name="ninguna" localSheetId="8">#REF!</definedName>
    <definedName name="ninguna" localSheetId="11">#REF!</definedName>
    <definedName name="ninguna" localSheetId="10">#REF!</definedName>
    <definedName name="ninguna" localSheetId="7">#REF!</definedName>
    <definedName name="ninguna" localSheetId="14">#REF!</definedName>
    <definedName name="ninguna">#REF!</definedName>
    <definedName name="nompore" localSheetId="6">#REF!</definedName>
    <definedName name="nompore" localSheetId="16">#REF!</definedName>
    <definedName name="nompore" localSheetId="13">#REF!</definedName>
    <definedName name="nompore" localSheetId="12">#REF!</definedName>
    <definedName name="nompore" localSheetId="2">#REF!</definedName>
    <definedName name="nompore" localSheetId="15">#REF!</definedName>
    <definedName name="nompore" localSheetId="5">#REF!</definedName>
    <definedName name="nompore" localSheetId="4">#REF!</definedName>
    <definedName name="nompore" localSheetId="9">#REF!</definedName>
    <definedName name="nompore" localSheetId="3">#REF!</definedName>
    <definedName name="nompore" localSheetId="8">#REF!</definedName>
    <definedName name="nompore" localSheetId="11">#REF!</definedName>
    <definedName name="nompore" localSheetId="10">#REF!</definedName>
    <definedName name="nompore" localSheetId="7">#REF!</definedName>
    <definedName name="nompore" localSheetId="14">#REF!</definedName>
    <definedName name="nompore">#REF!</definedName>
    <definedName name="Porcentajes" localSheetId="6">#REF!</definedName>
    <definedName name="Porcentajes" localSheetId="16">#REF!</definedName>
    <definedName name="Porcentajes" localSheetId="13">#REF!</definedName>
    <definedName name="Porcentajes" localSheetId="12">#REF!</definedName>
    <definedName name="Porcentajes" localSheetId="2">#REF!</definedName>
    <definedName name="Porcentajes" localSheetId="15">#REF!</definedName>
    <definedName name="Porcentajes" localSheetId="5">#REF!</definedName>
    <definedName name="Porcentajes" localSheetId="4">#REF!</definedName>
    <definedName name="Porcentajes" localSheetId="9">#REF!</definedName>
    <definedName name="Porcentajes" localSheetId="3">#REF!</definedName>
    <definedName name="Porcentajes" localSheetId="8">#REF!</definedName>
    <definedName name="Porcentajes" localSheetId="11">#REF!</definedName>
    <definedName name="Porcentajes" localSheetId="10">#REF!</definedName>
    <definedName name="Porcentajes" localSheetId="7">#REF!</definedName>
    <definedName name="Porcentajes" localSheetId="14">#REF!</definedName>
    <definedName name="Porcentajes">#REF!</definedName>
    <definedName name="Prov.80.20" localSheetId="6">#REF!</definedName>
    <definedName name="Prov.80.20" localSheetId="16">#REF!</definedName>
    <definedName name="Prov.80.20" localSheetId="13">#REF!</definedName>
    <definedName name="Prov.80.20" localSheetId="12">#REF!</definedName>
    <definedName name="Prov.80.20" localSheetId="2">#REF!</definedName>
    <definedName name="Prov.80.20" localSheetId="15">#REF!</definedName>
    <definedName name="Prov.80.20" localSheetId="5">#REF!</definedName>
    <definedName name="Prov.80.20" localSheetId="4">#REF!</definedName>
    <definedName name="Prov.80.20" localSheetId="9">#REF!</definedName>
    <definedName name="Prov.80.20" localSheetId="3">#REF!</definedName>
    <definedName name="Prov.80.20" localSheetId="8">#REF!</definedName>
    <definedName name="Prov.80.20" localSheetId="11">#REF!</definedName>
    <definedName name="Prov.80.20" localSheetId="10">#REF!</definedName>
    <definedName name="Prov.80.20" localSheetId="7">#REF!</definedName>
    <definedName name="Prov.80.20" localSheetId="14">#REF!</definedName>
    <definedName name="Prov.80.20">#REF!</definedName>
    <definedName name="rbArauco" localSheetId="6">#REF!</definedName>
    <definedName name="rbArauco" localSheetId="16">#REF!</definedName>
    <definedName name="rbArauco" localSheetId="13">#REF!</definedName>
    <definedName name="rbArauco" localSheetId="12">#REF!</definedName>
    <definedName name="rbArauco" localSheetId="2">#REF!</definedName>
    <definedName name="rbArauco" localSheetId="15">#REF!</definedName>
    <definedName name="rbArauco" localSheetId="5">#REF!</definedName>
    <definedName name="rbArauco" localSheetId="4">#REF!</definedName>
    <definedName name="rbArauco" localSheetId="9">#REF!</definedName>
    <definedName name="rbArauco" localSheetId="3">#REF!</definedName>
    <definedName name="rbArauco" localSheetId="8">#REF!</definedName>
    <definedName name="rbArauco" localSheetId="11">#REF!</definedName>
    <definedName name="rbArauco" localSheetId="10">#REF!</definedName>
    <definedName name="rbArauco" localSheetId="7">#REF!</definedName>
    <definedName name="rbArauco" localSheetId="14">#REF!</definedName>
    <definedName name="rbArauco">#REF!</definedName>
    <definedName name="rpArauco" localSheetId="6">#REF!</definedName>
    <definedName name="rpArauco" localSheetId="16">#REF!</definedName>
    <definedName name="rpArauco" localSheetId="13">#REF!</definedName>
    <definedName name="rpArauco" localSheetId="12">#REF!</definedName>
    <definedName name="rpArauco" localSheetId="2">#REF!</definedName>
    <definedName name="rpArauco" localSheetId="15">#REF!</definedName>
    <definedName name="rpArauco" localSheetId="5">#REF!</definedName>
    <definedName name="rpArauco" localSheetId="4">#REF!</definedName>
    <definedName name="rpArauco" localSheetId="9">#REF!</definedName>
    <definedName name="rpArauco" localSheetId="3">#REF!</definedName>
    <definedName name="rpArauco" localSheetId="8">#REF!</definedName>
    <definedName name="rpArauco" localSheetId="11">#REF!</definedName>
    <definedName name="rpArauco" localSheetId="10">#REF!</definedName>
    <definedName name="rpArauco" localSheetId="7">#REF!</definedName>
    <definedName name="rpArauco" localSheetId="14">#REF!</definedName>
    <definedName name="rpArauco">#REF!</definedName>
    <definedName name="ruts" localSheetId="6">#REF!</definedName>
    <definedName name="ruts" localSheetId="16">#REF!</definedName>
    <definedName name="ruts" localSheetId="13">#REF!</definedName>
    <definedName name="ruts" localSheetId="12">#REF!</definedName>
    <definedName name="ruts" localSheetId="2">#REF!</definedName>
    <definedName name="ruts" localSheetId="15">#REF!</definedName>
    <definedName name="ruts" localSheetId="5">#REF!</definedName>
    <definedName name="ruts" localSheetId="4">#REF!</definedName>
    <definedName name="ruts" localSheetId="9">#REF!</definedName>
    <definedName name="ruts" localSheetId="3">#REF!</definedName>
    <definedName name="ruts" localSheetId="8">#REF!</definedName>
    <definedName name="ruts" localSheetId="11">#REF!</definedName>
    <definedName name="ruts" localSheetId="10">#REF!</definedName>
    <definedName name="ruts" localSheetId="7">#REF!</definedName>
    <definedName name="ruts" localSheetId="14">#REF!</definedName>
    <definedName name="ruts">#REF!</definedName>
    <definedName name="S.Ibañez" localSheetId="6">#REF!</definedName>
    <definedName name="S.Ibañez" localSheetId="16">#REF!</definedName>
    <definedName name="S.Ibañez" localSheetId="13">#REF!</definedName>
    <definedName name="S.Ibañez" localSheetId="12">#REF!</definedName>
    <definedName name="S.Ibañez" localSheetId="2">#REF!</definedName>
    <definedName name="S.Ibañez" localSheetId="15">#REF!</definedName>
    <definedName name="S.Ibañez" localSheetId="5">#REF!</definedName>
    <definedName name="S.Ibañez" localSheetId="4">#REF!</definedName>
    <definedName name="S.Ibañez" localSheetId="9">#REF!</definedName>
    <definedName name="S.Ibañez" localSheetId="3">#REF!</definedName>
    <definedName name="S.Ibañez" localSheetId="8">#REF!</definedName>
    <definedName name="S.Ibañez" localSheetId="11">#REF!</definedName>
    <definedName name="S.Ibañez" localSheetId="10">#REF!</definedName>
    <definedName name="S.Ibañez" localSheetId="7">#REF!</definedName>
    <definedName name="S.Ibañez" localSheetId="14">#REF!</definedName>
    <definedName name="S.Ibañez">#REF!</definedName>
    <definedName name="Salud" localSheetId="6">#REF!</definedName>
    <definedName name="Salud" localSheetId="16">#REF!</definedName>
    <definedName name="Salud" localSheetId="13">#REF!</definedName>
    <definedName name="Salud" localSheetId="12">#REF!</definedName>
    <definedName name="Salud" localSheetId="2">#REF!</definedName>
    <definedName name="Salud" localSheetId="15">#REF!</definedName>
    <definedName name="Salud" localSheetId="5">#REF!</definedName>
    <definedName name="Salud" localSheetId="4">#REF!</definedName>
    <definedName name="Salud" localSheetId="9">#REF!</definedName>
    <definedName name="Salud" localSheetId="3">#REF!</definedName>
    <definedName name="Salud" localSheetId="8">#REF!</definedName>
    <definedName name="Salud" localSheetId="11">#REF!</definedName>
    <definedName name="Salud" localSheetId="10">#REF!</definedName>
    <definedName name="Salud" localSheetId="7">#REF!</definedName>
    <definedName name="Salud" localSheetId="14">#REF!</definedName>
    <definedName name="Salud">#REF!</definedName>
    <definedName name="sdfsdfdsa" localSheetId="6" hidden="1">{#N/A,#N/A,FALSE,"Aging Summary";#N/A,#N/A,FALSE,"Ratio Analysis";#N/A,#N/A,FALSE,"Test 120 Day Accts";#N/A,#N/A,FALSE,"Tickmarks"}</definedName>
    <definedName name="sdfsdfdsa" localSheetId="16" hidden="1">{#N/A,#N/A,FALSE,"Aging Summary";#N/A,#N/A,FALSE,"Ratio Analysis";#N/A,#N/A,FALSE,"Test 120 Day Accts";#N/A,#N/A,FALSE,"Tickmarks"}</definedName>
    <definedName name="sdfsdfdsa" localSheetId="13" hidden="1">{#N/A,#N/A,FALSE,"Aging Summary";#N/A,#N/A,FALSE,"Ratio Analysis";#N/A,#N/A,FALSE,"Test 120 Day Accts";#N/A,#N/A,FALSE,"Tickmarks"}</definedName>
    <definedName name="sdfsdfdsa" localSheetId="12" hidden="1">{#N/A,#N/A,FALSE,"Aging Summary";#N/A,#N/A,FALSE,"Ratio Analysis";#N/A,#N/A,FALSE,"Test 120 Day Accts";#N/A,#N/A,FALSE,"Tickmarks"}</definedName>
    <definedName name="sdfsdfdsa" localSheetId="2" hidden="1">{#N/A,#N/A,FALSE,"Aging Summary";#N/A,#N/A,FALSE,"Ratio Analysis";#N/A,#N/A,FALSE,"Test 120 Day Accts";#N/A,#N/A,FALSE,"Tickmarks"}</definedName>
    <definedName name="sdfsdfdsa" localSheetId="15" hidden="1">{#N/A,#N/A,FALSE,"Aging Summary";#N/A,#N/A,FALSE,"Ratio Analysis";#N/A,#N/A,FALSE,"Test 120 Day Accts";#N/A,#N/A,FALSE,"Tickmarks"}</definedName>
    <definedName name="sdfsdfdsa" localSheetId="5" hidden="1">{#N/A,#N/A,FALSE,"Aging Summary";#N/A,#N/A,FALSE,"Ratio Analysis";#N/A,#N/A,FALSE,"Test 120 Day Accts";#N/A,#N/A,FALSE,"Tickmarks"}</definedName>
    <definedName name="sdfsdfdsa" localSheetId="4" hidden="1">{#N/A,#N/A,FALSE,"Aging Summary";#N/A,#N/A,FALSE,"Ratio Analysis";#N/A,#N/A,FALSE,"Test 120 Day Accts";#N/A,#N/A,FALSE,"Tickmarks"}</definedName>
    <definedName name="sdfsdfdsa" localSheetId="9" hidden="1">{#N/A,#N/A,FALSE,"Aging Summary";#N/A,#N/A,FALSE,"Ratio Analysis";#N/A,#N/A,FALSE,"Test 120 Day Accts";#N/A,#N/A,FALSE,"Tickmarks"}</definedName>
    <definedName name="sdfsdfdsa" localSheetId="3" hidden="1">{#N/A,#N/A,FALSE,"Aging Summary";#N/A,#N/A,FALSE,"Ratio Analysis";#N/A,#N/A,FALSE,"Test 120 Day Accts";#N/A,#N/A,FALSE,"Tickmarks"}</definedName>
    <definedName name="sdfsdfdsa" localSheetId="8" hidden="1">{#N/A,#N/A,FALSE,"Aging Summary";#N/A,#N/A,FALSE,"Ratio Analysis";#N/A,#N/A,FALSE,"Test 120 Day Accts";#N/A,#N/A,FALSE,"Tickmarks"}</definedName>
    <definedName name="sdfsdfdsa" localSheetId="11" hidden="1">{#N/A,#N/A,FALSE,"Aging Summary";#N/A,#N/A,FALSE,"Ratio Analysis";#N/A,#N/A,FALSE,"Test 120 Day Accts";#N/A,#N/A,FALSE,"Tickmarks"}</definedName>
    <definedName name="sdfsdfdsa" localSheetId="10" hidden="1">{#N/A,#N/A,FALSE,"Aging Summary";#N/A,#N/A,FALSE,"Ratio Analysis";#N/A,#N/A,FALSE,"Test 120 Day Accts";#N/A,#N/A,FALSE,"Tickmarks"}</definedName>
    <definedName name="sdfsdfdsa" localSheetId="7" hidden="1">{#N/A,#N/A,FALSE,"Aging Summary";#N/A,#N/A,FALSE,"Ratio Analysis";#N/A,#N/A,FALSE,"Test 120 Day Accts";#N/A,#N/A,FALSE,"Tickmarks"}</definedName>
    <definedName name="sdfsdfdsa" localSheetId="14" hidden="1">{#N/A,#N/A,FALSE,"Aging Summary";#N/A,#N/A,FALSE,"Ratio Analysis";#N/A,#N/A,FALSE,"Test 120 Day Accts";#N/A,#N/A,FALSE,"Tickmarks"}</definedName>
    <definedName name="sdfsdfdsa" hidden="1">{#N/A,#N/A,FALSE,"Aging Summary";#N/A,#N/A,FALSE,"Ratio Analysis";#N/A,#N/A,FALSE,"Test 120 Day Accts";#N/A,#N/A,FALSE,"Tickmarks"}</definedName>
    <definedName name="SegmentaciónDeDatos_Cobro">#N/A</definedName>
    <definedName name="SegmentaciónDeDatos_Mes_Facturado">#N/A</definedName>
    <definedName name="SegmentaciónDeDatos_Razón_Social">#N/A</definedName>
    <definedName name="SM" localSheetId="6">#REF!</definedName>
    <definedName name="SM" localSheetId="16">#REF!</definedName>
    <definedName name="SM" localSheetId="13">#REF!</definedName>
    <definedName name="SM" localSheetId="12">#REF!</definedName>
    <definedName name="SM" localSheetId="2">#REF!</definedName>
    <definedName name="SM" localSheetId="15">#REF!</definedName>
    <definedName name="SM" localSheetId="5">#REF!</definedName>
    <definedName name="SM" localSheetId="4">#REF!</definedName>
    <definedName name="SM" localSheetId="9">#REF!</definedName>
    <definedName name="SM" localSheetId="3">#REF!</definedName>
    <definedName name="SM" localSheetId="8">#REF!</definedName>
    <definedName name="SM" localSheetId="11">#REF!</definedName>
    <definedName name="SM" localSheetId="10">#REF!</definedName>
    <definedName name="SM" localSheetId="7">#REF!</definedName>
    <definedName name="SM" localSheetId="14">#REF!</definedName>
    <definedName name="SM">#REF!</definedName>
    <definedName name="TEST0" localSheetId="6">#REF!</definedName>
    <definedName name="TEST0" localSheetId="16">#REF!</definedName>
    <definedName name="TEST0" localSheetId="13">#REF!</definedName>
    <definedName name="TEST0" localSheetId="12">#REF!</definedName>
    <definedName name="TEST0" localSheetId="2">#REF!</definedName>
    <definedName name="TEST0" localSheetId="15">#REF!</definedName>
    <definedName name="TEST0" localSheetId="5">#REF!</definedName>
    <definedName name="TEST0" localSheetId="4">#REF!</definedName>
    <definedName name="TEST0" localSheetId="9">#REF!</definedName>
    <definedName name="TEST0" localSheetId="3">#REF!</definedName>
    <definedName name="TEST0" localSheetId="8">#REF!</definedName>
    <definedName name="TEST0" localSheetId="11">#REF!</definedName>
    <definedName name="TEST0" localSheetId="10">#REF!</definedName>
    <definedName name="TEST0" localSheetId="7">#REF!</definedName>
    <definedName name="TEST0" localSheetId="14">#REF!</definedName>
    <definedName name="TEST0">#REF!</definedName>
    <definedName name="TESTHKEY" localSheetId="6">#REF!</definedName>
    <definedName name="TESTHKEY" localSheetId="16">#REF!</definedName>
    <definedName name="TESTHKEY" localSheetId="13">#REF!</definedName>
    <definedName name="TESTHKEY" localSheetId="12">#REF!</definedName>
    <definedName name="TESTHKEY" localSheetId="2">#REF!</definedName>
    <definedName name="TESTHKEY" localSheetId="15">#REF!</definedName>
    <definedName name="TESTHKEY" localSheetId="5">#REF!</definedName>
    <definedName name="TESTHKEY" localSheetId="4">#REF!</definedName>
    <definedName name="TESTHKEY" localSheetId="9">#REF!</definedName>
    <definedName name="TESTHKEY" localSheetId="3">#REF!</definedName>
    <definedName name="TESTHKEY" localSheetId="8">#REF!</definedName>
    <definedName name="TESTHKEY" localSheetId="11">#REF!</definedName>
    <definedName name="TESTHKEY" localSheetId="10">#REF!</definedName>
    <definedName name="TESTHKEY" localSheetId="7">#REF!</definedName>
    <definedName name="TESTHKEY" localSheetId="14">#REF!</definedName>
    <definedName name="TESTHKEY">#REF!</definedName>
    <definedName name="TESTKEYS" localSheetId="6">#REF!</definedName>
    <definedName name="TESTKEYS" localSheetId="16">#REF!</definedName>
    <definedName name="TESTKEYS" localSheetId="13">#REF!</definedName>
    <definedName name="TESTKEYS" localSheetId="12">#REF!</definedName>
    <definedName name="TESTKEYS" localSheetId="2">#REF!</definedName>
    <definedName name="TESTKEYS" localSheetId="15">#REF!</definedName>
    <definedName name="TESTKEYS" localSheetId="5">#REF!</definedName>
    <definedName name="TESTKEYS" localSheetId="4">#REF!</definedName>
    <definedName name="TESTKEYS" localSheetId="9">#REF!</definedName>
    <definedName name="TESTKEYS" localSheetId="3">#REF!</definedName>
    <definedName name="TESTKEYS" localSheetId="8">#REF!</definedName>
    <definedName name="TESTKEYS" localSheetId="11">#REF!</definedName>
    <definedName name="TESTKEYS" localSheetId="10">#REF!</definedName>
    <definedName name="TESTKEYS" localSheetId="7">#REF!</definedName>
    <definedName name="TESTKEYS" localSheetId="14">#REF!</definedName>
    <definedName name="TESTKEYS">#REF!</definedName>
    <definedName name="TESTVKEY" localSheetId="6">#REF!</definedName>
    <definedName name="TESTVKEY" localSheetId="16">#REF!</definedName>
    <definedName name="TESTVKEY" localSheetId="13">#REF!</definedName>
    <definedName name="TESTVKEY" localSheetId="12">#REF!</definedName>
    <definedName name="TESTVKEY" localSheetId="2">#REF!</definedName>
    <definedName name="TESTVKEY" localSheetId="15">#REF!</definedName>
    <definedName name="TESTVKEY" localSheetId="5">#REF!</definedName>
    <definedName name="TESTVKEY" localSheetId="4">#REF!</definedName>
    <definedName name="TESTVKEY" localSheetId="9">#REF!</definedName>
    <definedName name="TESTVKEY" localSheetId="3">#REF!</definedName>
    <definedName name="TESTVKEY" localSheetId="8">#REF!</definedName>
    <definedName name="TESTVKEY" localSheetId="11">#REF!</definedName>
    <definedName name="TESTVKEY" localSheetId="10">#REF!</definedName>
    <definedName name="TESTVKEY" localSheetId="7">#REF!</definedName>
    <definedName name="TESTVKEY" localSheetId="14">#REF!</definedName>
    <definedName name="TESTVKEY">#REF!</definedName>
    <definedName name="UF" localSheetId="6">#REF!</definedName>
    <definedName name="UF" localSheetId="16">#REF!</definedName>
    <definedName name="UF" localSheetId="13">#REF!</definedName>
    <definedName name="UF" localSheetId="12">#REF!</definedName>
    <definedName name="UF" localSheetId="2">#REF!</definedName>
    <definedName name="UF" localSheetId="15">#REF!</definedName>
    <definedName name="UF" localSheetId="5">#REF!</definedName>
    <definedName name="UF" localSheetId="4">#REF!</definedName>
    <definedName name="UF" localSheetId="9">#REF!</definedName>
    <definedName name="UF" localSheetId="3">#REF!</definedName>
    <definedName name="UF" localSheetId="8">#REF!</definedName>
    <definedName name="UF" localSheetId="11">#REF!</definedName>
    <definedName name="UF" localSheetId="10">#REF!</definedName>
    <definedName name="UF" localSheetId="7">#REF!</definedName>
    <definedName name="UF" localSheetId="14">#REF!</definedName>
    <definedName name="UF">#REF!</definedName>
    <definedName name="vendedores" localSheetId="6">#REF!</definedName>
    <definedName name="vendedores" localSheetId="16">#REF!</definedName>
    <definedName name="vendedores" localSheetId="13">#REF!</definedName>
    <definedName name="vendedores" localSheetId="12">#REF!</definedName>
    <definedName name="vendedores" localSheetId="2">#REF!</definedName>
    <definedName name="vendedores" localSheetId="15">#REF!</definedName>
    <definedName name="vendedores" localSheetId="5">#REF!</definedName>
    <definedName name="vendedores" localSheetId="4">#REF!</definedName>
    <definedName name="vendedores" localSheetId="9">#REF!</definedName>
    <definedName name="vendedores" localSheetId="3">#REF!</definedName>
    <definedName name="vendedores" localSheetId="8">#REF!</definedName>
    <definedName name="vendedores" localSheetId="11">#REF!</definedName>
    <definedName name="vendedores" localSheetId="10">#REF!</definedName>
    <definedName name="vendedores" localSheetId="7">#REF!</definedName>
    <definedName name="vendedores" localSheetId="14">#REF!</definedName>
    <definedName name="vendedores">#REF!</definedName>
    <definedName name="we" localSheetId="6" hidden="1">{#N/A,#N/A,FALSE,"Aging Summary";#N/A,#N/A,FALSE,"Ratio Analysis";#N/A,#N/A,FALSE,"Test 120 Day Accts";#N/A,#N/A,FALSE,"Tickmarks"}</definedName>
    <definedName name="we" localSheetId="16" hidden="1">{#N/A,#N/A,FALSE,"Aging Summary";#N/A,#N/A,FALSE,"Ratio Analysis";#N/A,#N/A,FALSE,"Test 120 Day Accts";#N/A,#N/A,FALSE,"Tickmarks"}</definedName>
    <definedName name="we" localSheetId="13" hidden="1">{#N/A,#N/A,FALSE,"Aging Summary";#N/A,#N/A,FALSE,"Ratio Analysis";#N/A,#N/A,FALSE,"Test 120 Day Accts";#N/A,#N/A,FALSE,"Tickmarks"}</definedName>
    <definedName name="we" localSheetId="12" hidden="1">{#N/A,#N/A,FALSE,"Aging Summary";#N/A,#N/A,FALSE,"Ratio Analysis";#N/A,#N/A,FALSE,"Test 120 Day Accts";#N/A,#N/A,FALSE,"Tickmarks"}</definedName>
    <definedName name="we" localSheetId="2" hidden="1">{#N/A,#N/A,FALSE,"Aging Summary";#N/A,#N/A,FALSE,"Ratio Analysis";#N/A,#N/A,FALSE,"Test 120 Day Accts";#N/A,#N/A,FALSE,"Tickmarks"}</definedName>
    <definedName name="we" localSheetId="15" hidden="1">{#N/A,#N/A,FALSE,"Aging Summary";#N/A,#N/A,FALSE,"Ratio Analysis";#N/A,#N/A,FALSE,"Test 120 Day Accts";#N/A,#N/A,FALSE,"Tickmarks"}</definedName>
    <definedName name="we" localSheetId="5" hidden="1">{#N/A,#N/A,FALSE,"Aging Summary";#N/A,#N/A,FALSE,"Ratio Analysis";#N/A,#N/A,FALSE,"Test 120 Day Accts";#N/A,#N/A,FALSE,"Tickmarks"}</definedName>
    <definedName name="we" localSheetId="4" hidden="1">{#N/A,#N/A,FALSE,"Aging Summary";#N/A,#N/A,FALSE,"Ratio Analysis";#N/A,#N/A,FALSE,"Test 120 Day Accts";#N/A,#N/A,FALSE,"Tickmarks"}</definedName>
    <definedName name="we" localSheetId="9" hidden="1">{#N/A,#N/A,FALSE,"Aging Summary";#N/A,#N/A,FALSE,"Ratio Analysis";#N/A,#N/A,FALSE,"Test 120 Day Accts";#N/A,#N/A,FALSE,"Tickmarks"}</definedName>
    <definedName name="we" localSheetId="3" hidden="1">{#N/A,#N/A,FALSE,"Aging Summary";#N/A,#N/A,FALSE,"Ratio Analysis";#N/A,#N/A,FALSE,"Test 120 Day Accts";#N/A,#N/A,FALSE,"Tickmarks"}</definedName>
    <definedName name="we" localSheetId="8" hidden="1">{#N/A,#N/A,FALSE,"Aging Summary";#N/A,#N/A,FALSE,"Ratio Analysis";#N/A,#N/A,FALSE,"Test 120 Day Accts";#N/A,#N/A,FALSE,"Tickmarks"}</definedName>
    <definedName name="we" localSheetId="11" hidden="1">{#N/A,#N/A,FALSE,"Aging Summary";#N/A,#N/A,FALSE,"Ratio Analysis";#N/A,#N/A,FALSE,"Test 120 Day Accts";#N/A,#N/A,FALSE,"Tickmarks"}</definedName>
    <definedName name="we" localSheetId="10" hidden="1">{#N/A,#N/A,FALSE,"Aging Summary";#N/A,#N/A,FALSE,"Ratio Analysis";#N/A,#N/A,FALSE,"Test 120 Day Accts";#N/A,#N/A,FALSE,"Tickmarks"}</definedName>
    <definedName name="we" localSheetId="7" hidden="1">{#N/A,#N/A,FALSE,"Aging Summary";#N/A,#N/A,FALSE,"Ratio Analysis";#N/A,#N/A,FALSE,"Test 120 Day Accts";#N/A,#N/A,FALSE,"Tickmarks"}</definedName>
    <definedName name="we" localSheetId="14" hidden="1">{#N/A,#N/A,FALSE,"Aging Summary";#N/A,#N/A,FALSE,"Ratio Analysis";#N/A,#N/A,FALSE,"Test 120 Day Accts";#N/A,#N/A,FALSE,"Tickmarks"}</definedName>
    <definedName name="we" hidden="1">{#N/A,#N/A,FALSE,"Aging Summary";#N/A,#N/A,FALSE,"Ratio Analysis";#N/A,#N/A,FALSE,"Test 120 Day Accts";#N/A,#N/A,FALSE,"Tickmarks"}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34" i="18" l="1"/>
  <c r="I1234" i="18" s="1"/>
  <c r="G1234" i="18"/>
  <c r="F1234" i="18"/>
  <c r="E1234" i="18"/>
  <c r="D1234" i="18"/>
  <c r="C1234" i="18"/>
  <c r="B1234" i="18"/>
  <c r="H1233" i="18"/>
  <c r="I1233" i="18" s="1"/>
  <c r="G1233" i="18"/>
  <c r="F1233" i="18"/>
  <c r="E1233" i="18"/>
  <c r="D1233" i="18"/>
  <c r="C1233" i="18"/>
  <c r="B1233" i="18"/>
  <c r="H1232" i="18"/>
  <c r="I1232" i="18" s="1"/>
  <c r="G1232" i="18"/>
  <c r="F1232" i="18"/>
  <c r="E1232" i="18"/>
  <c r="D1232" i="18"/>
  <c r="C1232" i="18"/>
  <c r="B1232" i="18"/>
  <c r="H1231" i="18"/>
  <c r="I1231" i="18" s="1"/>
  <c r="G1231" i="18"/>
  <c r="F1231" i="18"/>
  <c r="E1231" i="18"/>
  <c r="D1231" i="18"/>
  <c r="C1231" i="18"/>
  <c r="B1231" i="18"/>
  <c r="H1230" i="18"/>
  <c r="I1230" i="18" s="1"/>
  <c r="G1230" i="18"/>
  <c r="F1230" i="18"/>
  <c r="E1230" i="18"/>
  <c r="D1230" i="18"/>
  <c r="C1230" i="18"/>
  <c r="B1230" i="18"/>
  <c r="H1229" i="18"/>
  <c r="I1229" i="18" s="1"/>
  <c r="G1229" i="18"/>
  <c r="F1229" i="18"/>
  <c r="E1229" i="18"/>
  <c r="D1229" i="18"/>
  <c r="C1229" i="18"/>
  <c r="B1229" i="18"/>
  <c r="H1228" i="18"/>
  <c r="I1228" i="18" s="1"/>
  <c r="G1228" i="18"/>
  <c r="F1228" i="18"/>
  <c r="E1228" i="18"/>
  <c r="D1228" i="18"/>
  <c r="C1228" i="18"/>
  <c r="B1228" i="18"/>
  <c r="H1227" i="18"/>
  <c r="I1227" i="18" s="1"/>
  <c r="G1227" i="18"/>
  <c r="F1227" i="18"/>
  <c r="E1227" i="18"/>
  <c r="D1227" i="18"/>
  <c r="C1227" i="18"/>
  <c r="B1227" i="18"/>
  <c r="H1226" i="18"/>
  <c r="I1226" i="18" s="1"/>
  <c r="G1226" i="18"/>
  <c r="F1226" i="18"/>
  <c r="E1226" i="18"/>
  <c r="D1226" i="18"/>
  <c r="C1226" i="18"/>
  <c r="B1226" i="18"/>
  <c r="H1225" i="18"/>
  <c r="I1225" i="18" s="1"/>
  <c r="G1225" i="18"/>
  <c r="F1225" i="18"/>
  <c r="E1225" i="18"/>
  <c r="D1225" i="18"/>
  <c r="C1225" i="18"/>
  <c r="B1225" i="18"/>
  <c r="H1224" i="18"/>
  <c r="G1224" i="18"/>
  <c r="F1224" i="18"/>
  <c r="E1224" i="18"/>
  <c r="D1224" i="18"/>
  <c r="C1224" i="18"/>
  <c r="B1224" i="18"/>
  <c r="H1223" i="18"/>
  <c r="I1223" i="18" s="1"/>
  <c r="G1223" i="18"/>
  <c r="F1223" i="18"/>
  <c r="E1223" i="18"/>
  <c r="D1223" i="18"/>
  <c r="C1223" i="18"/>
  <c r="B1223" i="18"/>
  <c r="H1222" i="18"/>
  <c r="I1222" i="18" s="1"/>
  <c r="G1222" i="18"/>
  <c r="F1222" i="18"/>
  <c r="E1222" i="18"/>
  <c r="D1222" i="18"/>
  <c r="C1222" i="18"/>
  <c r="B1222" i="18"/>
  <c r="H1221" i="18"/>
  <c r="I1221" i="18" s="1"/>
  <c r="G1221" i="18"/>
  <c r="F1221" i="18"/>
  <c r="E1221" i="18"/>
  <c r="D1221" i="18"/>
  <c r="C1221" i="18"/>
  <c r="B1221" i="18"/>
  <c r="H1220" i="18"/>
  <c r="I1220" i="18" s="1"/>
  <c r="G1220" i="18"/>
  <c r="F1220" i="18"/>
  <c r="E1220" i="18"/>
  <c r="D1220" i="18"/>
  <c r="C1220" i="18"/>
  <c r="B1220" i="18"/>
  <c r="H1219" i="18"/>
  <c r="I1219" i="18" s="1"/>
  <c r="G1219" i="18"/>
  <c r="F1219" i="18"/>
  <c r="E1219" i="18"/>
  <c r="D1219" i="18"/>
  <c r="C1219" i="18"/>
  <c r="B1219" i="18"/>
  <c r="H1218" i="18"/>
  <c r="I1218" i="18" s="1"/>
  <c r="G1218" i="18"/>
  <c r="F1218" i="18"/>
  <c r="E1218" i="18"/>
  <c r="D1218" i="18"/>
  <c r="C1218" i="18"/>
  <c r="B1218" i="18"/>
  <c r="H1217" i="18"/>
  <c r="I1217" i="18" s="1"/>
  <c r="G1217" i="18"/>
  <c r="F1217" i="18"/>
  <c r="E1217" i="18"/>
  <c r="D1217" i="18"/>
  <c r="C1217" i="18"/>
  <c r="B1217" i="18"/>
  <c r="H1216" i="18"/>
  <c r="I1216" i="18" s="1"/>
  <c r="G1216" i="18"/>
  <c r="F1216" i="18"/>
  <c r="E1216" i="18"/>
  <c r="D1216" i="18"/>
  <c r="C1216" i="18"/>
  <c r="B1216" i="18"/>
  <c r="H1215" i="18"/>
  <c r="I1215" i="18" s="1"/>
  <c r="G1215" i="18"/>
  <c r="F1215" i="18"/>
  <c r="E1215" i="18"/>
  <c r="D1215" i="18"/>
  <c r="C1215" i="18"/>
  <c r="B1215" i="18"/>
  <c r="H1214" i="18"/>
  <c r="I1214" i="18" s="1"/>
  <c r="G1214" i="18"/>
  <c r="F1214" i="18"/>
  <c r="E1214" i="18"/>
  <c r="D1214" i="18"/>
  <c r="C1214" i="18"/>
  <c r="B1214" i="18"/>
  <c r="H1213" i="18"/>
  <c r="I1213" i="18" s="1"/>
  <c r="G1213" i="18"/>
  <c r="F1213" i="18"/>
  <c r="E1213" i="18"/>
  <c r="D1213" i="18"/>
  <c r="C1213" i="18"/>
  <c r="B1213" i="18"/>
  <c r="H1212" i="18"/>
  <c r="I1212" i="18" s="1"/>
  <c r="G1212" i="18"/>
  <c r="F1212" i="18"/>
  <c r="E1212" i="18"/>
  <c r="D1212" i="18"/>
  <c r="C1212" i="18"/>
  <c r="B1212" i="18"/>
  <c r="H1211" i="18"/>
  <c r="I1211" i="18" s="1"/>
  <c r="G1211" i="18"/>
  <c r="F1211" i="18"/>
  <c r="E1211" i="18"/>
  <c r="D1211" i="18"/>
  <c r="C1211" i="18"/>
  <c r="B1211" i="18"/>
  <c r="H1210" i="18"/>
  <c r="I1210" i="18" s="1"/>
  <c r="G1210" i="18"/>
  <c r="F1210" i="18"/>
  <c r="E1210" i="18"/>
  <c r="D1210" i="18"/>
  <c r="C1210" i="18"/>
  <c r="B1210" i="18"/>
  <c r="H1209" i="18"/>
  <c r="I1209" i="18" s="1"/>
  <c r="G1209" i="18"/>
  <c r="F1209" i="18"/>
  <c r="E1209" i="18"/>
  <c r="D1209" i="18"/>
  <c r="C1209" i="18"/>
  <c r="B1209" i="18"/>
  <c r="H1208" i="18"/>
  <c r="I1208" i="18" s="1"/>
  <c r="G1208" i="18"/>
  <c r="F1208" i="18"/>
  <c r="E1208" i="18"/>
  <c r="D1208" i="18"/>
  <c r="C1208" i="18"/>
  <c r="B1208" i="18"/>
  <c r="H1207" i="18"/>
  <c r="I1207" i="18" s="1"/>
  <c r="G1207" i="18"/>
  <c r="F1207" i="18"/>
  <c r="E1207" i="18"/>
  <c r="D1207" i="18"/>
  <c r="C1207" i="18"/>
  <c r="B1207" i="18"/>
  <c r="H1206" i="18"/>
  <c r="I1206" i="18" s="1"/>
  <c r="G1206" i="18"/>
  <c r="F1206" i="18"/>
  <c r="E1206" i="18"/>
  <c r="D1206" i="18"/>
  <c r="C1206" i="18"/>
  <c r="B1206" i="18"/>
  <c r="H1205" i="18"/>
  <c r="I1205" i="18" s="1"/>
  <c r="G1205" i="18"/>
  <c r="F1205" i="18"/>
  <c r="E1205" i="18"/>
  <c r="D1205" i="18"/>
  <c r="C1205" i="18"/>
  <c r="B1205" i="18"/>
  <c r="H1204" i="18"/>
  <c r="I1204" i="18" s="1"/>
  <c r="G1204" i="18"/>
  <c r="F1204" i="18"/>
  <c r="E1204" i="18"/>
  <c r="D1204" i="18"/>
  <c r="C1204" i="18"/>
  <c r="B1204" i="18"/>
  <c r="H1203" i="18"/>
  <c r="I1203" i="18" s="1"/>
  <c r="G1203" i="18"/>
  <c r="F1203" i="18"/>
  <c r="E1203" i="18"/>
  <c r="D1203" i="18"/>
  <c r="C1203" i="18"/>
  <c r="B1203" i="18"/>
  <c r="H1202" i="18"/>
  <c r="I1202" i="18" s="1"/>
  <c r="G1202" i="18"/>
  <c r="F1202" i="18"/>
  <c r="E1202" i="18"/>
  <c r="D1202" i="18"/>
  <c r="C1202" i="18"/>
  <c r="B1202" i="18"/>
  <c r="H1201" i="18"/>
  <c r="I1201" i="18" s="1"/>
  <c r="G1201" i="18"/>
  <c r="F1201" i="18"/>
  <c r="E1201" i="18"/>
  <c r="D1201" i="18"/>
  <c r="C1201" i="18"/>
  <c r="B1201" i="18"/>
  <c r="H1200" i="18"/>
  <c r="I1200" i="18" s="1"/>
  <c r="G1200" i="18"/>
  <c r="F1200" i="18"/>
  <c r="E1200" i="18"/>
  <c r="D1200" i="18"/>
  <c r="C1200" i="18"/>
  <c r="B1200" i="18"/>
  <c r="H1199" i="18"/>
  <c r="I1199" i="18" s="1"/>
  <c r="G1199" i="18"/>
  <c r="F1199" i="18"/>
  <c r="E1199" i="18"/>
  <c r="D1199" i="18"/>
  <c r="C1199" i="18"/>
  <c r="B1199" i="18"/>
  <c r="H1198" i="18"/>
  <c r="I1198" i="18" s="1"/>
  <c r="G1198" i="18"/>
  <c r="F1198" i="18"/>
  <c r="E1198" i="18"/>
  <c r="D1198" i="18"/>
  <c r="C1198" i="18"/>
  <c r="B1198" i="18"/>
  <c r="H1197" i="18"/>
  <c r="I1197" i="18" s="1"/>
  <c r="G1197" i="18"/>
  <c r="F1197" i="18"/>
  <c r="E1197" i="18"/>
  <c r="D1197" i="18"/>
  <c r="C1197" i="18"/>
  <c r="B1197" i="18"/>
  <c r="H1196" i="18"/>
  <c r="I1196" i="18" s="1"/>
  <c r="G1196" i="18"/>
  <c r="F1196" i="18"/>
  <c r="E1196" i="18"/>
  <c r="D1196" i="18"/>
  <c r="C1196" i="18"/>
  <c r="B1196" i="18"/>
  <c r="H1195" i="18"/>
  <c r="I1195" i="18" s="1"/>
  <c r="G1195" i="18"/>
  <c r="F1195" i="18"/>
  <c r="E1195" i="18"/>
  <c r="D1195" i="18"/>
  <c r="C1195" i="18"/>
  <c r="B1195" i="18"/>
  <c r="H1194" i="18"/>
  <c r="I1194" i="18" s="1"/>
  <c r="G1194" i="18"/>
  <c r="F1194" i="18"/>
  <c r="E1194" i="18"/>
  <c r="D1194" i="18"/>
  <c r="C1194" i="18"/>
  <c r="B1194" i="18"/>
  <c r="H1193" i="18"/>
  <c r="I1193" i="18" s="1"/>
  <c r="G1193" i="18"/>
  <c r="F1193" i="18"/>
  <c r="E1193" i="18"/>
  <c r="D1193" i="18"/>
  <c r="C1193" i="18"/>
  <c r="B1193" i="18"/>
  <c r="H1192" i="18"/>
  <c r="I1192" i="18" s="1"/>
  <c r="G1192" i="18"/>
  <c r="F1192" i="18"/>
  <c r="E1192" i="18"/>
  <c r="D1192" i="18"/>
  <c r="C1192" i="18"/>
  <c r="B1192" i="18"/>
  <c r="H1191" i="18"/>
  <c r="I1191" i="18" s="1"/>
  <c r="G1191" i="18"/>
  <c r="F1191" i="18"/>
  <c r="E1191" i="18"/>
  <c r="D1191" i="18"/>
  <c r="C1191" i="18"/>
  <c r="B1191" i="18"/>
  <c r="H1190" i="18"/>
  <c r="I1190" i="18" s="1"/>
  <c r="G1190" i="18"/>
  <c r="F1190" i="18"/>
  <c r="E1190" i="18"/>
  <c r="D1190" i="18"/>
  <c r="C1190" i="18"/>
  <c r="B1190" i="18"/>
  <c r="H1189" i="18"/>
  <c r="I1189" i="18" s="1"/>
  <c r="G1189" i="18"/>
  <c r="F1189" i="18"/>
  <c r="E1189" i="18"/>
  <c r="D1189" i="18"/>
  <c r="C1189" i="18"/>
  <c r="B1189" i="18"/>
  <c r="H1188" i="18"/>
  <c r="I1188" i="18" s="1"/>
  <c r="G1188" i="18"/>
  <c r="F1188" i="18"/>
  <c r="E1188" i="18"/>
  <c r="D1188" i="18"/>
  <c r="C1188" i="18"/>
  <c r="B1188" i="18"/>
  <c r="H1187" i="18"/>
  <c r="I1187" i="18" s="1"/>
  <c r="G1187" i="18"/>
  <c r="F1187" i="18"/>
  <c r="E1187" i="18"/>
  <c r="D1187" i="18"/>
  <c r="C1187" i="18"/>
  <c r="B1187" i="18"/>
  <c r="H1186" i="18"/>
  <c r="I1186" i="18" s="1"/>
  <c r="G1186" i="18"/>
  <c r="F1186" i="18"/>
  <c r="E1186" i="18"/>
  <c r="D1186" i="18"/>
  <c r="C1186" i="18"/>
  <c r="B1186" i="18"/>
  <c r="H1185" i="18"/>
  <c r="I1185" i="18" s="1"/>
  <c r="G1185" i="18"/>
  <c r="F1185" i="18"/>
  <c r="E1185" i="18"/>
  <c r="D1185" i="18"/>
  <c r="C1185" i="18"/>
  <c r="B1185" i="18"/>
  <c r="H1184" i="18"/>
  <c r="I1184" i="18" s="1"/>
  <c r="G1184" i="18"/>
  <c r="F1184" i="18"/>
  <c r="E1184" i="18"/>
  <c r="D1184" i="18"/>
  <c r="C1184" i="18"/>
  <c r="B1184" i="18"/>
  <c r="H1183" i="18"/>
  <c r="I1183" i="18" s="1"/>
  <c r="G1183" i="18"/>
  <c r="F1183" i="18"/>
  <c r="E1183" i="18"/>
  <c r="D1183" i="18"/>
  <c r="C1183" i="18"/>
  <c r="B1183" i="18"/>
  <c r="H1182" i="18"/>
  <c r="I1182" i="18" s="1"/>
  <c r="G1182" i="18"/>
  <c r="F1182" i="18"/>
  <c r="E1182" i="18"/>
  <c r="D1182" i="18"/>
  <c r="C1182" i="18"/>
  <c r="B1182" i="18"/>
  <c r="H1181" i="18"/>
  <c r="I1181" i="18" s="1"/>
  <c r="G1181" i="18"/>
  <c r="F1181" i="18"/>
  <c r="E1181" i="18"/>
  <c r="D1181" i="18"/>
  <c r="C1181" i="18"/>
  <c r="B1181" i="18"/>
  <c r="H1180" i="18"/>
  <c r="I1180" i="18" s="1"/>
  <c r="G1180" i="18"/>
  <c r="F1180" i="18"/>
  <c r="E1180" i="18"/>
  <c r="D1180" i="18"/>
  <c r="C1180" i="18"/>
  <c r="B1180" i="18"/>
  <c r="H1179" i="18"/>
  <c r="I1179" i="18" s="1"/>
  <c r="G1179" i="18"/>
  <c r="F1179" i="18"/>
  <c r="E1179" i="18"/>
  <c r="D1179" i="18"/>
  <c r="C1179" i="18"/>
  <c r="B1179" i="18"/>
  <c r="H1178" i="18"/>
  <c r="I1178" i="18" s="1"/>
  <c r="G1178" i="18"/>
  <c r="F1178" i="18"/>
  <c r="E1178" i="18"/>
  <c r="D1178" i="18"/>
  <c r="C1178" i="18"/>
  <c r="B1178" i="18"/>
  <c r="H1177" i="18"/>
  <c r="I1177" i="18" s="1"/>
  <c r="G1177" i="18"/>
  <c r="F1177" i="18"/>
  <c r="E1177" i="18"/>
  <c r="D1177" i="18"/>
  <c r="C1177" i="18"/>
  <c r="B1177" i="18"/>
  <c r="H1176" i="18"/>
  <c r="I1176" i="18" s="1"/>
  <c r="G1176" i="18"/>
  <c r="F1176" i="18"/>
  <c r="E1176" i="18"/>
  <c r="D1176" i="18"/>
  <c r="C1176" i="18"/>
  <c r="B1176" i="18"/>
  <c r="H1175" i="18"/>
  <c r="I1175" i="18" s="1"/>
  <c r="G1175" i="18"/>
  <c r="F1175" i="18"/>
  <c r="E1175" i="18"/>
  <c r="D1175" i="18"/>
  <c r="C1175" i="18"/>
  <c r="B1175" i="18"/>
  <c r="H1174" i="18"/>
  <c r="I1174" i="18" s="1"/>
  <c r="G1174" i="18"/>
  <c r="F1174" i="18"/>
  <c r="E1174" i="18"/>
  <c r="D1174" i="18"/>
  <c r="C1174" i="18"/>
  <c r="B1174" i="18"/>
  <c r="H1173" i="18"/>
  <c r="I1173" i="18" s="1"/>
  <c r="G1173" i="18"/>
  <c r="F1173" i="18"/>
  <c r="E1173" i="18"/>
  <c r="D1173" i="18"/>
  <c r="C1173" i="18"/>
  <c r="B1173" i="18"/>
  <c r="H1172" i="18"/>
  <c r="I1172" i="18" s="1"/>
  <c r="G1172" i="18"/>
  <c r="F1172" i="18"/>
  <c r="E1172" i="18"/>
  <c r="D1172" i="18"/>
  <c r="C1172" i="18"/>
  <c r="B1172" i="18"/>
  <c r="H1171" i="18"/>
  <c r="I1171" i="18" s="1"/>
  <c r="G1171" i="18"/>
  <c r="F1171" i="18"/>
  <c r="E1171" i="18"/>
  <c r="D1171" i="18"/>
  <c r="C1171" i="18"/>
  <c r="B1171" i="18"/>
  <c r="H1170" i="18"/>
  <c r="I1170" i="18" s="1"/>
  <c r="G1170" i="18"/>
  <c r="F1170" i="18"/>
  <c r="E1170" i="18"/>
  <c r="D1170" i="18"/>
  <c r="C1170" i="18"/>
  <c r="B1170" i="18"/>
  <c r="H1169" i="18"/>
  <c r="I1169" i="18" s="1"/>
  <c r="G1169" i="18"/>
  <c r="F1169" i="18"/>
  <c r="E1169" i="18"/>
  <c r="D1169" i="18"/>
  <c r="C1169" i="18"/>
  <c r="B1169" i="18"/>
  <c r="H1168" i="18"/>
  <c r="I1168" i="18" s="1"/>
  <c r="G1168" i="18"/>
  <c r="F1168" i="18"/>
  <c r="E1168" i="18"/>
  <c r="D1168" i="18"/>
  <c r="C1168" i="18"/>
  <c r="B1168" i="18"/>
  <c r="H1167" i="18"/>
  <c r="I1167" i="18" s="1"/>
  <c r="G1167" i="18"/>
  <c r="F1167" i="18"/>
  <c r="E1167" i="18"/>
  <c r="D1167" i="18"/>
  <c r="C1167" i="18"/>
  <c r="B1167" i="18"/>
  <c r="H1166" i="18"/>
  <c r="I1166" i="18" s="1"/>
  <c r="G1166" i="18"/>
  <c r="F1166" i="18"/>
  <c r="E1166" i="18"/>
  <c r="D1166" i="18"/>
  <c r="C1166" i="18"/>
  <c r="B1166" i="18"/>
  <c r="H1165" i="18"/>
  <c r="I1165" i="18" s="1"/>
  <c r="G1165" i="18"/>
  <c r="F1165" i="18"/>
  <c r="E1165" i="18"/>
  <c r="D1165" i="18"/>
  <c r="C1165" i="18"/>
  <c r="B1165" i="18"/>
  <c r="H1164" i="18"/>
  <c r="I1164" i="18" s="1"/>
  <c r="G1164" i="18"/>
  <c r="F1164" i="18"/>
  <c r="E1164" i="18"/>
  <c r="D1164" i="18"/>
  <c r="C1164" i="18"/>
  <c r="B1164" i="18"/>
  <c r="H1163" i="18"/>
  <c r="I1163" i="18" s="1"/>
  <c r="G1163" i="18"/>
  <c r="F1163" i="18"/>
  <c r="E1163" i="18"/>
  <c r="D1163" i="18"/>
  <c r="C1163" i="18"/>
  <c r="B1163" i="18"/>
  <c r="H1162" i="18"/>
  <c r="I1162" i="18" s="1"/>
  <c r="G1162" i="18"/>
  <c r="F1162" i="18"/>
  <c r="E1162" i="18"/>
  <c r="D1162" i="18"/>
  <c r="C1162" i="18"/>
  <c r="B1162" i="18"/>
  <c r="H1161" i="18"/>
  <c r="I1161" i="18" s="1"/>
  <c r="G1161" i="18"/>
  <c r="F1161" i="18"/>
  <c r="E1161" i="18"/>
  <c r="D1161" i="18"/>
  <c r="C1161" i="18"/>
  <c r="B1161" i="18"/>
  <c r="H1160" i="18"/>
  <c r="I1160" i="18" s="1"/>
  <c r="G1160" i="18"/>
  <c r="F1160" i="18"/>
  <c r="E1160" i="18"/>
  <c r="D1160" i="18"/>
  <c r="C1160" i="18"/>
  <c r="B1160" i="18"/>
  <c r="H1159" i="18"/>
  <c r="I1159" i="18" s="1"/>
  <c r="G1159" i="18"/>
  <c r="F1159" i="18"/>
  <c r="E1159" i="18"/>
  <c r="D1159" i="18"/>
  <c r="C1159" i="18"/>
  <c r="B1159" i="18"/>
  <c r="H1158" i="18"/>
  <c r="I1158" i="18" s="1"/>
  <c r="G1158" i="18"/>
  <c r="F1158" i="18"/>
  <c r="E1158" i="18"/>
  <c r="D1158" i="18"/>
  <c r="C1158" i="18"/>
  <c r="B1158" i="18"/>
  <c r="H1157" i="18"/>
  <c r="I1157" i="18" s="1"/>
  <c r="G1157" i="18"/>
  <c r="F1157" i="18"/>
  <c r="E1157" i="18"/>
  <c r="D1157" i="18"/>
  <c r="C1157" i="18"/>
  <c r="B1157" i="18"/>
  <c r="H1156" i="18"/>
  <c r="I1156" i="18" s="1"/>
  <c r="G1156" i="18"/>
  <c r="F1156" i="18"/>
  <c r="E1156" i="18"/>
  <c r="D1156" i="18"/>
  <c r="C1156" i="18"/>
  <c r="B1156" i="18"/>
  <c r="H1155" i="18"/>
  <c r="I1155" i="18" s="1"/>
  <c r="G1155" i="18"/>
  <c r="F1155" i="18"/>
  <c r="E1155" i="18"/>
  <c r="D1155" i="18"/>
  <c r="C1155" i="18"/>
  <c r="B1155" i="18"/>
  <c r="H1154" i="18"/>
  <c r="I1154" i="18" s="1"/>
  <c r="G1154" i="18"/>
  <c r="F1154" i="18"/>
  <c r="E1154" i="18"/>
  <c r="D1154" i="18"/>
  <c r="C1154" i="18"/>
  <c r="B1154" i="18"/>
  <c r="H1153" i="18"/>
  <c r="I1153" i="18" s="1"/>
  <c r="G1153" i="18"/>
  <c r="F1153" i="18"/>
  <c r="E1153" i="18"/>
  <c r="D1153" i="18"/>
  <c r="C1153" i="18"/>
  <c r="B1153" i="18"/>
  <c r="H1152" i="18"/>
  <c r="I1152" i="18" s="1"/>
  <c r="G1152" i="18"/>
  <c r="F1152" i="18"/>
  <c r="E1152" i="18"/>
  <c r="D1152" i="18"/>
  <c r="C1152" i="18"/>
  <c r="B1152" i="18"/>
  <c r="H1151" i="18"/>
  <c r="I1151" i="18" s="1"/>
  <c r="G1151" i="18"/>
  <c r="F1151" i="18"/>
  <c r="E1151" i="18"/>
  <c r="D1151" i="18"/>
  <c r="C1151" i="18"/>
  <c r="B1151" i="18"/>
  <c r="H1150" i="18"/>
  <c r="I1150" i="18" s="1"/>
  <c r="G1150" i="18"/>
  <c r="F1150" i="18"/>
  <c r="E1150" i="18"/>
  <c r="D1150" i="18"/>
  <c r="C1150" i="18"/>
  <c r="B1150" i="18"/>
  <c r="H1149" i="18"/>
  <c r="I1149" i="18" s="1"/>
  <c r="G1149" i="18"/>
  <c r="F1149" i="18"/>
  <c r="E1149" i="18"/>
  <c r="D1149" i="18"/>
  <c r="C1149" i="18"/>
  <c r="B1149" i="18"/>
  <c r="H1148" i="18"/>
  <c r="I1148" i="18" s="1"/>
  <c r="G1148" i="18"/>
  <c r="F1148" i="18"/>
  <c r="E1148" i="18"/>
  <c r="D1148" i="18"/>
  <c r="C1148" i="18"/>
  <c r="B1148" i="18"/>
  <c r="H1147" i="18"/>
  <c r="I1147" i="18" s="1"/>
  <c r="G1147" i="18"/>
  <c r="F1147" i="18"/>
  <c r="E1147" i="18"/>
  <c r="D1147" i="18"/>
  <c r="C1147" i="18"/>
  <c r="B1147" i="18"/>
  <c r="H1146" i="18"/>
  <c r="I1146" i="18" s="1"/>
  <c r="G1146" i="18"/>
  <c r="F1146" i="18"/>
  <c r="E1146" i="18"/>
  <c r="D1146" i="18"/>
  <c r="C1146" i="18"/>
  <c r="B1146" i="18"/>
  <c r="H1145" i="18"/>
  <c r="I1145" i="18" s="1"/>
  <c r="G1145" i="18"/>
  <c r="F1145" i="18"/>
  <c r="E1145" i="18"/>
  <c r="D1145" i="18"/>
  <c r="C1145" i="18"/>
  <c r="B1145" i="18"/>
  <c r="H1144" i="18"/>
  <c r="I1144" i="18" s="1"/>
  <c r="G1144" i="18"/>
  <c r="F1144" i="18"/>
  <c r="E1144" i="18"/>
  <c r="D1144" i="18"/>
  <c r="C1144" i="18"/>
  <c r="B1144" i="18"/>
  <c r="H1143" i="18"/>
  <c r="I1143" i="18" s="1"/>
  <c r="G1143" i="18"/>
  <c r="F1143" i="18"/>
  <c r="E1143" i="18"/>
  <c r="D1143" i="18"/>
  <c r="C1143" i="18"/>
  <c r="B1143" i="18"/>
  <c r="H1142" i="18"/>
  <c r="I1142" i="18" s="1"/>
  <c r="G1142" i="18"/>
  <c r="F1142" i="18"/>
  <c r="E1142" i="18"/>
  <c r="D1142" i="18"/>
  <c r="C1142" i="18"/>
  <c r="B1142" i="18"/>
  <c r="H1141" i="18"/>
  <c r="I1141" i="18" s="1"/>
  <c r="G1141" i="18"/>
  <c r="F1141" i="18"/>
  <c r="E1141" i="18"/>
  <c r="D1141" i="18"/>
  <c r="C1141" i="18"/>
  <c r="B1141" i="18"/>
  <c r="H1140" i="18"/>
  <c r="I1140" i="18" s="1"/>
  <c r="G1140" i="18"/>
  <c r="F1140" i="18"/>
  <c r="E1140" i="18"/>
  <c r="D1140" i="18"/>
  <c r="C1140" i="18"/>
  <c r="B1140" i="18"/>
  <c r="H1139" i="18"/>
  <c r="I1139" i="18" s="1"/>
  <c r="G1139" i="18"/>
  <c r="F1139" i="18"/>
  <c r="E1139" i="18"/>
  <c r="D1139" i="18"/>
  <c r="C1139" i="18"/>
  <c r="B1139" i="18"/>
  <c r="H1138" i="18"/>
  <c r="I1138" i="18" s="1"/>
  <c r="G1138" i="18"/>
  <c r="F1138" i="18"/>
  <c r="E1138" i="18"/>
  <c r="D1138" i="18"/>
  <c r="C1138" i="18"/>
  <c r="B1138" i="18"/>
  <c r="H1137" i="18"/>
  <c r="I1137" i="18" s="1"/>
  <c r="G1137" i="18"/>
  <c r="F1137" i="18"/>
  <c r="E1137" i="18"/>
  <c r="D1137" i="18"/>
  <c r="C1137" i="18"/>
  <c r="B1137" i="18"/>
  <c r="H1136" i="18"/>
  <c r="I1136" i="18" s="1"/>
  <c r="G1136" i="18"/>
  <c r="F1136" i="18"/>
  <c r="E1136" i="18"/>
  <c r="D1136" i="18"/>
  <c r="C1136" i="18"/>
  <c r="B1136" i="18"/>
  <c r="H1135" i="18"/>
  <c r="I1135" i="18" s="1"/>
  <c r="G1135" i="18"/>
  <c r="F1135" i="18"/>
  <c r="E1135" i="18"/>
  <c r="D1135" i="18"/>
  <c r="C1135" i="18"/>
  <c r="B1135" i="18"/>
  <c r="H1134" i="18"/>
  <c r="I1134" i="18" s="1"/>
  <c r="G1134" i="18"/>
  <c r="F1134" i="18"/>
  <c r="E1134" i="18"/>
  <c r="D1134" i="18"/>
  <c r="C1134" i="18"/>
  <c r="B1134" i="18"/>
  <c r="H1133" i="18"/>
  <c r="I1133" i="18" s="1"/>
  <c r="G1133" i="18"/>
  <c r="F1133" i="18"/>
  <c r="E1133" i="18"/>
  <c r="D1133" i="18"/>
  <c r="C1133" i="18"/>
  <c r="B1133" i="18"/>
  <c r="H1132" i="18"/>
  <c r="I1132" i="18" s="1"/>
  <c r="G1132" i="18"/>
  <c r="F1132" i="18"/>
  <c r="E1132" i="18"/>
  <c r="D1132" i="18"/>
  <c r="C1132" i="18"/>
  <c r="B1132" i="18"/>
  <c r="H1131" i="18"/>
  <c r="I1131" i="18" s="1"/>
  <c r="G1131" i="18"/>
  <c r="F1131" i="18"/>
  <c r="E1131" i="18"/>
  <c r="D1131" i="18"/>
  <c r="C1131" i="18"/>
  <c r="B1131" i="18"/>
  <c r="H1130" i="18"/>
  <c r="I1130" i="18" s="1"/>
  <c r="G1130" i="18"/>
  <c r="F1130" i="18"/>
  <c r="E1130" i="18"/>
  <c r="D1130" i="18"/>
  <c r="C1130" i="18"/>
  <c r="B1130" i="18"/>
  <c r="H1129" i="18"/>
  <c r="I1129" i="18" s="1"/>
  <c r="G1129" i="18"/>
  <c r="F1129" i="18"/>
  <c r="E1129" i="18"/>
  <c r="D1129" i="18"/>
  <c r="C1129" i="18"/>
  <c r="B1129" i="18"/>
  <c r="H1128" i="18"/>
  <c r="I1128" i="18" s="1"/>
  <c r="G1128" i="18"/>
  <c r="F1128" i="18"/>
  <c r="E1128" i="18"/>
  <c r="D1128" i="18"/>
  <c r="C1128" i="18"/>
  <c r="B1128" i="18"/>
  <c r="H1127" i="18"/>
  <c r="I1127" i="18" s="1"/>
  <c r="G1127" i="18"/>
  <c r="F1127" i="18"/>
  <c r="E1127" i="18"/>
  <c r="D1127" i="18"/>
  <c r="C1127" i="18"/>
  <c r="B1127" i="18"/>
  <c r="H1126" i="18"/>
  <c r="I1126" i="18" s="1"/>
  <c r="G1126" i="18"/>
  <c r="F1126" i="18"/>
  <c r="E1126" i="18"/>
  <c r="D1126" i="18"/>
  <c r="C1126" i="18"/>
  <c r="B1126" i="18"/>
  <c r="H1125" i="18"/>
  <c r="I1125" i="18" s="1"/>
  <c r="G1125" i="18"/>
  <c r="F1125" i="18"/>
  <c r="E1125" i="18"/>
  <c r="D1125" i="18"/>
  <c r="C1125" i="18"/>
  <c r="B1125" i="18"/>
  <c r="H1124" i="18"/>
  <c r="I1124" i="18" s="1"/>
  <c r="G1124" i="18"/>
  <c r="F1124" i="18"/>
  <c r="E1124" i="18"/>
  <c r="D1124" i="18"/>
  <c r="C1124" i="18"/>
  <c r="B1124" i="18"/>
  <c r="H1123" i="18"/>
  <c r="I1123" i="18" s="1"/>
  <c r="G1123" i="18"/>
  <c r="F1123" i="18"/>
  <c r="E1123" i="18"/>
  <c r="D1123" i="18"/>
  <c r="C1123" i="18"/>
  <c r="B1123" i="18"/>
  <c r="H1122" i="18"/>
  <c r="I1122" i="18" s="1"/>
  <c r="G1122" i="18"/>
  <c r="F1122" i="18"/>
  <c r="E1122" i="18"/>
  <c r="D1122" i="18"/>
  <c r="C1122" i="18"/>
  <c r="B1122" i="18"/>
  <c r="H1121" i="18"/>
  <c r="I1121" i="18" s="1"/>
  <c r="G1121" i="18"/>
  <c r="F1121" i="18"/>
  <c r="E1121" i="18"/>
  <c r="D1121" i="18"/>
  <c r="C1121" i="18"/>
  <c r="B1121" i="18"/>
  <c r="H1120" i="18"/>
  <c r="I1120" i="18" s="1"/>
  <c r="G1120" i="18"/>
  <c r="F1120" i="18"/>
  <c r="E1120" i="18"/>
  <c r="D1120" i="18"/>
  <c r="C1120" i="18"/>
  <c r="B1120" i="18"/>
  <c r="H1119" i="18"/>
  <c r="I1119" i="18" s="1"/>
  <c r="G1119" i="18"/>
  <c r="F1119" i="18"/>
  <c r="E1119" i="18"/>
  <c r="D1119" i="18"/>
  <c r="C1119" i="18"/>
  <c r="B1119" i="18"/>
  <c r="H1118" i="18"/>
  <c r="I1118" i="18" s="1"/>
  <c r="G1118" i="18"/>
  <c r="F1118" i="18"/>
  <c r="E1118" i="18"/>
  <c r="D1118" i="18"/>
  <c r="C1118" i="18"/>
  <c r="B1118" i="18"/>
  <c r="H1117" i="18"/>
  <c r="I1117" i="18" s="1"/>
  <c r="G1117" i="18"/>
  <c r="F1117" i="18"/>
  <c r="E1117" i="18"/>
  <c r="D1117" i="18"/>
  <c r="C1117" i="18"/>
  <c r="B1117" i="18"/>
  <c r="H1116" i="18"/>
  <c r="I1116" i="18" s="1"/>
  <c r="G1116" i="18"/>
  <c r="F1116" i="18"/>
  <c r="E1116" i="18"/>
  <c r="D1116" i="18"/>
  <c r="C1116" i="18"/>
  <c r="B1116" i="18"/>
  <c r="H1115" i="18"/>
  <c r="I1115" i="18" s="1"/>
  <c r="G1115" i="18"/>
  <c r="F1115" i="18"/>
  <c r="E1115" i="18"/>
  <c r="D1115" i="18"/>
  <c r="C1115" i="18"/>
  <c r="B1115" i="18"/>
  <c r="H1114" i="18"/>
  <c r="I1114" i="18" s="1"/>
  <c r="G1114" i="18"/>
  <c r="F1114" i="18"/>
  <c r="E1114" i="18"/>
  <c r="D1114" i="18"/>
  <c r="C1114" i="18"/>
  <c r="B1114" i="18"/>
  <c r="H1113" i="18"/>
  <c r="I1113" i="18" s="1"/>
  <c r="G1113" i="18"/>
  <c r="F1113" i="18"/>
  <c r="E1113" i="18"/>
  <c r="D1113" i="18"/>
  <c r="C1113" i="18"/>
  <c r="B1113" i="18"/>
  <c r="H1112" i="18"/>
  <c r="I1112" i="18" s="1"/>
  <c r="G1112" i="18"/>
  <c r="F1112" i="18"/>
  <c r="E1112" i="18"/>
  <c r="D1112" i="18"/>
  <c r="C1112" i="18"/>
  <c r="B1112" i="18"/>
  <c r="H1111" i="18"/>
  <c r="I1111" i="18" s="1"/>
  <c r="G1111" i="18"/>
  <c r="F1111" i="18"/>
  <c r="E1111" i="18"/>
  <c r="D1111" i="18"/>
  <c r="C1111" i="18"/>
  <c r="B1111" i="18"/>
  <c r="H1110" i="18"/>
  <c r="I1110" i="18" s="1"/>
  <c r="G1110" i="18"/>
  <c r="F1110" i="18"/>
  <c r="E1110" i="18"/>
  <c r="D1110" i="18"/>
  <c r="C1110" i="18"/>
  <c r="B1110" i="18"/>
  <c r="H1109" i="18"/>
  <c r="I1109" i="18" s="1"/>
  <c r="G1109" i="18"/>
  <c r="F1109" i="18"/>
  <c r="E1109" i="18"/>
  <c r="D1109" i="18"/>
  <c r="C1109" i="18"/>
  <c r="B1109" i="18"/>
  <c r="H1108" i="18"/>
  <c r="I1108" i="18" s="1"/>
  <c r="G1108" i="18"/>
  <c r="F1108" i="18"/>
  <c r="E1108" i="18"/>
  <c r="D1108" i="18"/>
  <c r="C1108" i="18"/>
  <c r="B1108" i="18"/>
  <c r="H1107" i="18"/>
  <c r="I1107" i="18" s="1"/>
  <c r="G1107" i="18"/>
  <c r="F1107" i="18"/>
  <c r="E1107" i="18"/>
  <c r="D1107" i="18"/>
  <c r="C1107" i="18"/>
  <c r="B1107" i="18"/>
  <c r="H1106" i="18"/>
  <c r="I1106" i="18" s="1"/>
  <c r="G1106" i="18"/>
  <c r="F1106" i="18"/>
  <c r="E1106" i="18"/>
  <c r="D1106" i="18"/>
  <c r="C1106" i="18"/>
  <c r="B1106" i="18"/>
  <c r="H1105" i="18"/>
  <c r="I1105" i="18" s="1"/>
  <c r="G1105" i="18"/>
  <c r="F1105" i="18"/>
  <c r="E1105" i="18"/>
  <c r="D1105" i="18"/>
  <c r="C1105" i="18"/>
  <c r="B1105" i="18"/>
  <c r="H1104" i="18"/>
  <c r="I1104" i="18" s="1"/>
  <c r="G1104" i="18"/>
  <c r="F1104" i="18"/>
  <c r="E1104" i="18"/>
  <c r="D1104" i="18"/>
  <c r="C1104" i="18"/>
  <c r="B1104" i="18"/>
  <c r="H1103" i="18"/>
  <c r="I1103" i="18" s="1"/>
  <c r="G1103" i="18"/>
  <c r="F1103" i="18"/>
  <c r="E1103" i="18"/>
  <c r="D1103" i="18"/>
  <c r="C1103" i="18"/>
  <c r="B1103" i="18"/>
  <c r="H1102" i="18"/>
  <c r="I1102" i="18" s="1"/>
  <c r="G1102" i="18"/>
  <c r="F1102" i="18"/>
  <c r="E1102" i="18"/>
  <c r="D1102" i="18"/>
  <c r="C1102" i="18"/>
  <c r="B1102" i="18"/>
  <c r="H1101" i="18"/>
  <c r="I1101" i="18" s="1"/>
  <c r="G1101" i="18"/>
  <c r="F1101" i="18"/>
  <c r="E1101" i="18"/>
  <c r="D1101" i="18"/>
  <c r="C1101" i="18"/>
  <c r="B1101" i="18"/>
  <c r="H1100" i="18"/>
  <c r="I1100" i="18" s="1"/>
  <c r="G1100" i="18"/>
  <c r="F1100" i="18"/>
  <c r="E1100" i="18"/>
  <c r="D1100" i="18"/>
  <c r="C1100" i="18"/>
  <c r="B1100" i="18"/>
  <c r="H1099" i="18"/>
  <c r="I1099" i="18" s="1"/>
  <c r="G1099" i="18"/>
  <c r="F1099" i="18"/>
  <c r="E1099" i="18"/>
  <c r="D1099" i="18"/>
  <c r="C1099" i="18"/>
  <c r="B1099" i="18"/>
  <c r="H1098" i="18"/>
  <c r="I1098" i="18" s="1"/>
  <c r="G1098" i="18"/>
  <c r="F1098" i="18"/>
  <c r="E1098" i="18"/>
  <c r="D1098" i="18"/>
  <c r="C1098" i="18"/>
  <c r="B1098" i="18"/>
  <c r="H1097" i="18"/>
  <c r="I1097" i="18" s="1"/>
  <c r="G1097" i="18"/>
  <c r="F1097" i="18"/>
  <c r="E1097" i="18"/>
  <c r="D1097" i="18"/>
  <c r="C1097" i="18"/>
  <c r="B1097" i="18"/>
  <c r="H1096" i="18"/>
  <c r="I1096" i="18" s="1"/>
  <c r="G1096" i="18"/>
  <c r="F1096" i="18"/>
  <c r="E1096" i="18"/>
  <c r="D1096" i="18"/>
  <c r="C1096" i="18"/>
  <c r="B1096" i="18"/>
  <c r="H1095" i="18"/>
  <c r="I1095" i="18" s="1"/>
  <c r="G1095" i="18"/>
  <c r="F1095" i="18"/>
  <c r="E1095" i="18"/>
  <c r="D1095" i="18"/>
  <c r="C1095" i="18"/>
  <c r="B1095" i="18"/>
  <c r="H1094" i="18"/>
  <c r="I1094" i="18" s="1"/>
  <c r="G1094" i="18"/>
  <c r="F1094" i="18"/>
  <c r="E1094" i="18"/>
  <c r="D1094" i="18"/>
  <c r="C1094" i="18"/>
  <c r="B1094" i="18"/>
  <c r="H1093" i="18"/>
  <c r="I1093" i="18" s="1"/>
  <c r="G1093" i="18"/>
  <c r="F1093" i="18"/>
  <c r="E1093" i="18"/>
  <c r="D1093" i="18"/>
  <c r="C1093" i="18"/>
  <c r="B1093" i="18"/>
  <c r="H1092" i="18"/>
  <c r="I1092" i="18" s="1"/>
  <c r="G1092" i="18"/>
  <c r="F1092" i="18"/>
  <c r="E1092" i="18"/>
  <c r="D1092" i="18"/>
  <c r="C1092" i="18"/>
  <c r="B1092" i="18"/>
  <c r="H1091" i="18"/>
  <c r="I1091" i="18" s="1"/>
  <c r="G1091" i="18"/>
  <c r="F1091" i="18"/>
  <c r="E1091" i="18"/>
  <c r="D1091" i="18"/>
  <c r="C1091" i="18"/>
  <c r="B1091" i="18"/>
  <c r="H1090" i="18"/>
  <c r="I1090" i="18" s="1"/>
  <c r="G1090" i="18"/>
  <c r="F1090" i="18"/>
  <c r="E1090" i="18"/>
  <c r="D1090" i="18"/>
  <c r="C1090" i="18"/>
  <c r="B1090" i="18"/>
  <c r="H1089" i="18"/>
  <c r="I1089" i="18" s="1"/>
  <c r="G1089" i="18"/>
  <c r="F1089" i="18"/>
  <c r="E1089" i="18"/>
  <c r="D1089" i="18"/>
  <c r="C1089" i="18"/>
  <c r="B1089" i="18"/>
  <c r="H1088" i="18"/>
  <c r="I1088" i="18" s="1"/>
  <c r="G1088" i="18"/>
  <c r="F1088" i="18"/>
  <c r="E1088" i="18"/>
  <c r="D1088" i="18"/>
  <c r="C1088" i="18"/>
  <c r="B1088" i="18"/>
  <c r="H1087" i="18"/>
  <c r="I1087" i="18" s="1"/>
  <c r="G1087" i="18"/>
  <c r="F1087" i="18"/>
  <c r="E1087" i="18"/>
  <c r="D1087" i="18"/>
  <c r="C1087" i="18"/>
  <c r="B1087" i="18"/>
  <c r="H1086" i="18"/>
  <c r="I1086" i="18" s="1"/>
  <c r="G1086" i="18"/>
  <c r="F1086" i="18"/>
  <c r="E1086" i="18"/>
  <c r="D1086" i="18"/>
  <c r="C1086" i="18"/>
  <c r="B1086" i="18"/>
  <c r="H1085" i="18"/>
  <c r="I1085" i="18" s="1"/>
  <c r="G1085" i="18"/>
  <c r="F1085" i="18"/>
  <c r="E1085" i="18"/>
  <c r="D1085" i="18"/>
  <c r="C1085" i="18"/>
  <c r="B1085" i="18"/>
  <c r="H1084" i="18"/>
  <c r="I1084" i="18" s="1"/>
  <c r="G1084" i="18"/>
  <c r="F1084" i="18"/>
  <c r="E1084" i="18"/>
  <c r="D1084" i="18"/>
  <c r="C1084" i="18"/>
  <c r="B1084" i="18"/>
  <c r="H1083" i="18"/>
  <c r="I1083" i="18" s="1"/>
  <c r="G1083" i="18"/>
  <c r="F1083" i="18"/>
  <c r="E1083" i="18"/>
  <c r="D1083" i="18"/>
  <c r="C1083" i="18"/>
  <c r="B1083" i="18"/>
  <c r="H1082" i="18"/>
  <c r="I1082" i="18" s="1"/>
  <c r="G1082" i="18"/>
  <c r="F1082" i="18"/>
  <c r="E1082" i="18"/>
  <c r="D1082" i="18"/>
  <c r="C1082" i="18"/>
  <c r="B1082" i="18"/>
  <c r="H1081" i="18"/>
  <c r="I1081" i="18" s="1"/>
  <c r="G1081" i="18"/>
  <c r="F1081" i="18"/>
  <c r="E1081" i="18"/>
  <c r="D1081" i="18"/>
  <c r="C1081" i="18"/>
  <c r="B1081" i="18"/>
  <c r="H1080" i="18"/>
  <c r="I1080" i="18" s="1"/>
  <c r="G1080" i="18"/>
  <c r="F1080" i="18"/>
  <c r="E1080" i="18"/>
  <c r="D1080" i="18"/>
  <c r="C1080" i="18"/>
  <c r="B1080" i="18"/>
  <c r="H1079" i="18"/>
  <c r="I1079" i="18" s="1"/>
  <c r="G1079" i="18"/>
  <c r="F1079" i="18"/>
  <c r="E1079" i="18"/>
  <c r="D1079" i="18"/>
  <c r="C1079" i="18"/>
  <c r="B1079" i="18"/>
  <c r="H1078" i="18"/>
  <c r="I1078" i="18" s="1"/>
  <c r="G1078" i="18"/>
  <c r="F1078" i="18"/>
  <c r="E1078" i="18"/>
  <c r="D1078" i="18"/>
  <c r="C1078" i="18"/>
  <c r="B1078" i="18"/>
  <c r="H1077" i="18"/>
  <c r="I1077" i="18" s="1"/>
  <c r="G1077" i="18"/>
  <c r="F1077" i="18"/>
  <c r="E1077" i="18"/>
  <c r="D1077" i="18"/>
  <c r="C1077" i="18"/>
  <c r="B1077" i="18"/>
  <c r="H1076" i="18"/>
  <c r="I1076" i="18" s="1"/>
  <c r="G1076" i="18"/>
  <c r="F1076" i="18"/>
  <c r="E1076" i="18"/>
  <c r="D1076" i="18"/>
  <c r="C1076" i="18"/>
  <c r="B1076" i="18"/>
  <c r="H1075" i="18"/>
  <c r="I1075" i="18" s="1"/>
  <c r="G1075" i="18"/>
  <c r="F1075" i="18"/>
  <c r="E1075" i="18"/>
  <c r="D1075" i="18"/>
  <c r="C1075" i="18"/>
  <c r="B1075" i="18"/>
  <c r="H1074" i="18"/>
  <c r="I1074" i="18" s="1"/>
  <c r="G1074" i="18"/>
  <c r="F1074" i="18"/>
  <c r="E1074" i="18"/>
  <c r="D1074" i="18"/>
  <c r="C1074" i="18"/>
  <c r="B1074" i="18"/>
  <c r="H1073" i="18"/>
  <c r="I1073" i="18" s="1"/>
  <c r="G1073" i="18"/>
  <c r="F1073" i="18"/>
  <c r="E1073" i="18"/>
  <c r="D1073" i="18"/>
  <c r="C1073" i="18"/>
  <c r="B1073" i="18"/>
  <c r="H1072" i="18"/>
  <c r="I1072" i="18" s="1"/>
  <c r="G1072" i="18"/>
  <c r="F1072" i="18"/>
  <c r="E1072" i="18"/>
  <c r="D1072" i="18"/>
  <c r="C1072" i="18"/>
  <c r="B1072" i="18"/>
  <c r="H1071" i="18"/>
  <c r="I1071" i="18" s="1"/>
  <c r="G1071" i="18"/>
  <c r="F1071" i="18"/>
  <c r="E1071" i="18"/>
  <c r="D1071" i="18"/>
  <c r="C1071" i="18"/>
  <c r="B1071" i="18"/>
  <c r="H1070" i="18"/>
  <c r="I1070" i="18" s="1"/>
  <c r="G1070" i="18"/>
  <c r="F1070" i="18"/>
  <c r="E1070" i="18"/>
  <c r="D1070" i="18"/>
  <c r="C1070" i="18"/>
  <c r="B1070" i="18"/>
  <c r="H1069" i="18"/>
  <c r="I1069" i="18" s="1"/>
  <c r="G1069" i="18"/>
  <c r="F1069" i="18"/>
  <c r="E1069" i="18"/>
  <c r="D1069" i="18"/>
  <c r="C1069" i="18"/>
  <c r="B1069" i="18"/>
  <c r="H1068" i="18"/>
  <c r="I1068" i="18" s="1"/>
  <c r="G1068" i="18"/>
  <c r="F1068" i="18"/>
  <c r="E1068" i="18"/>
  <c r="D1068" i="18"/>
  <c r="C1068" i="18"/>
  <c r="B1068" i="18"/>
  <c r="H1067" i="18"/>
  <c r="I1067" i="18" s="1"/>
  <c r="G1067" i="18"/>
  <c r="F1067" i="18"/>
  <c r="E1067" i="18"/>
  <c r="D1067" i="18"/>
  <c r="C1067" i="18"/>
  <c r="B1067" i="18"/>
  <c r="H1066" i="18"/>
  <c r="I1066" i="18" s="1"/>
  <c r="G1066" i="18"/>
  <c r="F1066" i="18"/>
  <c r="E1066" i="18"/>
  <c r="D1066" i="18"/>
  <c r="C1066" i="18"/>
  <c r="B1066" i="18"/>
  <c r="H1065" i="18"/>
  <c r="I1065" i="18" s="1"/>
  <c r="G1065" i="18"/>
  <c r="F1065" i="18"/>
  <c r="E1065" i="18"/>
  <c r="D1065" i="18"/>
  <c r="C1065" i="18"/>
  <c r="B1065" i="18"/>
  <c r="H1064" i="18"/>
  <c r="I1064" i="18" s="1"/>
  <c r="G1064" i="18"/>
  <c r="F1064" i="18"/>
  <c r="E1064" i="18"/>
  <c r="D1064" i="18"/>
  <c r="C1064" i="18"/>
  <c r="B1064" i="18"/>
  <c r="H1063" i="18"/>
  <c r="I1063" i="18" s="1"/>
  <c r="G1063" i="18"/>
  <c r="F1063" i="18"/>
  <c r="E1063" i="18"/>
  <c r="D1063" i="18"/>
  <c r="C1063" i="18"/>
  <c r="B1063" i="18"/>
  <c r="H1062" i="18"/>
  <c r="I1062" i="18" s="1"/>
  <c r="G1062" i="18"/>
  <c r="F1062" i="18"/>
  <c r="E1062" i="18"/>
  <c r="D1062" i="18"/>
  <c r="C1062" i="18"/>
  <c r="B1062" i="18"/>
  <c r="H1061" i="18"/>
  <c r="I1061" i="18" s="1"/>
  <c r="G1061" i="18"/>
  <c r="F1061" i="18"/>
  <c r="E1061" i="18"/>
  <c r="D1061" i="18"/>
  <c r="C1061" i="18"/>
  <c r="B1061" i="18"/>
  <c r="H1060" i="18"/>
  <c r="I1060" i="18" s="1"/>
  <c r="G1060" i="18"/>
  <c r="F1060" i="18"/>
  <c r="E1060" i="18"/>
  <c r="D1060" i="18"/>
  <c r="C1060" i="18"/>
  <c r="B1060" i="18"/>
  <c r="H1059" i="18"/>
  <c r="I1059" i="18" s="1"/>
  <c r="G1059" i="18"/>
  <c r="F1059" i="18"/>
  <c r="E1059" i="18"/>
  <c r="D1059" i="18"/>
  <c r="C1059" i="18"/>
  <c r="B1059" i="18"/>
  <c r="H1058" i="18"/>
  <c r="I1058" i="18" s="1"/>
  <c r="G1058" i="18"/>
  <c r="F1058" i="18"/>
  <c r="E1058" i="18"/>
  <c r="D1058" i="18"/>
  <c r="C1058" i="18"/>
  <c r="B1058" i="18"/>
  <c r="H1057" i="18"/>
  <c r="I1057" i="18" s="1"/>
  <c r="G1057" i="18"/>
  <c r="F1057" i="18"/>
  <c r="E1057" i="18"/>
  <c r="D1057" i="18"/>
  <c r="C1057" i="18"/>
  <c r="B1057" i="18"/>
  <c r="H1056" i="18"/>
  <c r="I1056" i="18" s="1"/>
  <c r="G1056" i="18"/>
  <c r="F1056" i="18"/>
  <c r="E1056" i="18"/>
  <c r="D1056" i="18"/>
  <c r="C1056" i="18"/>
  <c r="B1056" i="18"/>
  <c r="H1055" i="18"/>
  <c r="I1055" i="18" s="1"/>
  <c r="G1055" i="18"/>
  <c r="F1055" i="18"/>
  <c r="E1055" i="18"/>
  <c r="D1055" i="18"/>
  <c r="C1055" i="18"/>
  <c r="B1055" i="18"/>
  <c r="H1054" i="18"/>
  <c r="I1054" i="18" s="1"/>
  <c r="G1054" i="18"/>
  <c r="F1054" i="18"/>
  <c r="E1054" i="18"/>
  <c r="D1054" i="18"/>
  <c r="C1054" i="18"/>
  <c r="B1054" i="18"/>
  <c r="H1053" i="18"/>
  <c r="I1053" i="18" s="1"/>
  <c r="G1053" i="18"/>
  <c r="F1053" i="18"/>
  <c r="E1053" i="18"/>
  <c r="D1053" i="18"/>
  <c r="C1053" i="18"/>
  <c r="B1053" i="18"/>
  <c r="H1052" i="18"/>
  <c r="I1052" i="18" s="1"/>
  <c r="G1052" i="18"/>
  <c r="F1052" i="18"/>
  <c r="E1052" i="18"/>
  <c r="D1052" i="18"/>
  <c r="C1052" i="18"/>
  <c r="B1052" i="18"/>
  <c r="H1051" i="18"/>
  <c r="I1051" i="18" s="1"/>
  <c r="G1051" i="18"/>
  <c r="F1051" i="18"/>
  <c r="E1051" i="18"/>
  <c r="D1051" i="18"/>
  <c r="C1051" i="18"/>
  <c r="B1051" i="18"/>
  <c r="H1050" i="18"/>
  <c r="I1050" i="18" s="1"/>
  <c r="G1050" i="18"/>
  <c r="F1050" i="18"/>
  <c r="E1050" i="18"/>
  <c r="D1050" i="18"/>
  <c r="C1050" i="18"/>
  <c r="B1050" i="18"/>
  <c r="H1049" i="18"/>
  <c r="I1049" i="18" s="1"/>
  <c r="G1049" i="18"/>
  <c r="F1049" i="18"/>
  <c r="E1049" i="18"/>
  <c r="D1049" i="18"/>
  <c r="C1049" i="18"/>
  <c r="B1049" i="18"/>
  <c r="H1048" i="18"/>
  <c r="I1048" i="18" s="1"/>
  <c r="G1048" i="18"/>
  <c r="F1048" i="18"/>
  <c r="E1048" i="18"/>
  <c r="D1048" i="18"/>
  <c r="C1048" i="18"/>
  <c r="B1048" i="18"/>
  <c r="H1047" i="18"/>
  <c r="I1047" i="18" s="1"/>
  <c r="G1047" i="18"/>
  <c r="F1047" i="18"/>
  <c r="E1047" i="18"/>
  <c r="D1047" i="18"/>
  <c r="C1047" i="18"/>
  <c r="B1047" i="18"/>
  <c r="H1046" i="18"/>
  <c r="I1046" i="18" s="1"/>
  <c r="G1046" i="18"/>
  <c r="F1046" i="18"/>
  <c r="E1046" i="18"/>
  <c r="D1046" i="18"/>
  <c r="C1046" i="18"/>
  <c r="B1046" i="18"/>
  <c r="H1045" i="18"/>
  <c r="I1045" i="18" s="1"/>
  <c r="G1045" i="18"/>
  <c r="F1045" i="18"/>
  <c r="E1045" i="18"/>
  <c r="D1045" i="18"/>
  <c r="C1045" i="18"/>
  <c r="B1045" i="18"/>
  <c r="H1044" i="18"/>
  <c r="I1044" i="18" s="1"/>
  <c r="G1044" i="18"/>
  <c r="F1044" i="18"/>
  <c r="E1044" i="18"/>
  <c r="D1044" i="18"/>
  <c r="C1044" i="18"/>
  <c r="B1044" i="18"/>
  <c r="H1043" i="18"/>
  <c r="I1043" i="18" s="1"/>
  <c r="G1043" i="18"/>
  <c r="F1043" i="18"/>
  <c r="E1043" i="18"/>
  <c r="D1043" i="18"/>
  <c r="C1043" i="18"/>
  <c r="B1043" i="18"/>
  <c r="H1042" i="18"/>
  <c r="I1042" i="18" s="1"/>
  <c r="G1042" i="18"/>
  <c r="F1042" i="18"/>
  <c r="E1042" i="18"/>
  <c r="D1042" i="18"/>
  <c r="C1042" i="18"/>
  <c r="B1042" i="18"/>
  <c r="H1041" i="18"/>
  <c r="I1041" i="18" s="1"/>
  <c r="G1041" i="18"/>
  <c r="F1041" i="18"/>
  <c r="E1041" i="18"/>
  <c r="D1041" i="18"/>
  <c r="C1041" i="18"/>
  <c r="B1041" i="18"/>
  <c r="H1040" i="18"/>
  <c r="I1040" i="18" s="1"/>
  <c r="G1040" i="18"/>
  <c r="F1040" i="18"/>
  <c r="E1040" i="18"/>
  <c r="D1040" i="18"/>
  <c r="C1040" i="18"/>
  <c r="B1040" i="18"/>
  <c r="H1039" i="18"/>
  <c r="I1039" i="18" s="1"/>
  <c r="G1039" i="18"/>
  <c r="F1039" i="18"/>
  <c r="E1039" i="18"/>
  <c r="D1039" i="18"/>
  <c r="C1039" i="18"/>
  <c r="B1039" i="18"/>
  <c r="H1038" i="18"/>
  <c r="I1038" i="18" s="1"/>
  <c r="G1038" i="18"/>
  <c r="F1038" i="18"/>
  <c r="E1038" i="18"/>
  <c r="D1038" i="18"/>
  <c r="C1038" i="18"/>
  <c r="B1038" i="18"/>
  <c r="H1037" i="18"/>
  <c r="I1037" i="18" s="1"/>
  <c r="G1037" i="18"/>
  <c r="F1037" i="18"/>
  <c r="E1037" i="18"/>
  <c r="D1037" i="18"/>
  <c r="C1037" i="18"/>
  <c r="B1037" i="18"/>
  <c r="H1036" i="18"/>
  <c r="I1036" i="18" s="1"/>
  <c r="G1036" i="18"/>
  <c r="F1036" i="18"/>
  <c r="E1036" i="18"/>
  <c r="D1036" i="18"/>
  <c r="C1036" i="18"/>
  <c r="B1036" i="18"/>
  <c r="H1035" i="18"/>
  <c r="I1035" i="18" s="1"/>
  <c r="G1035" i="18"/>
  <c r="F1035" i="18"/>
  <c r="E1035" i="18"/>
  <c r="D1035" i="18"/>
  <c r="C1035" i="18"/>
  <c r="B1035" i="18"/>
  <c r="H1034" i="18"/>
  <c r="I1034" i="18" s="1"/>
  <c r="G1034" i="18"/>
  <c r="F1034" i="18"/>
  <c r="E1034" i="18"/>
  <c r="D1034" i="18"/>
  <c r="C1034" i="18"/>
  <c r="B1034" i="18"/>
  <c r="H1033" i="18"/>
  <c r="I1033" i="18" s="1"/>
  <c r="G1033" i="18"/>
  <c r="F1033" i="18"/>
  <c r="E1033" i="18"/>
  <c r="D1033" i="18"/>
  <c r="C1033" i="18"/>
  <c r="B1033" i="18"/>
  <c r="H1032" i="18"/>
  <c r="I1032" i="18" s="1"/>
  <c r="G1032" i="18"/>
  <c r="F1032" i="18"/>
  <c r="E1032" i="18"/>
  <c r="D1032" i="18"/>
  <c r="C1032" i="18"/>
  <c r="B1032" i="18"/>
  <c r="H1031" i="18"/>
  <c r="I1031" i="18" s="1"/>
  <c r="G1031" i="18"/>
  <c r="F1031" i="18"/>
  <c r="E1031" i="18"/>
  <c r="D1031" i="18"/>
  <c r="C1031" i="18"/>
  <c r="B1031" i="18"/>
  <c r="H1030" i="18"/>
  <c r="I1030" i="18" s="1"/>
  <c r="G1030" i="18"/>
  <c r="F1030" i="18"/>
  <c r="E1030" i="18"/>
  <c r="D1030" i="18"/>
  <c r="C1030" i="18"/>
  <c r="B1030" i="18"/>
  <c r="H1029" i="18"/>
  <c r="I1029" i="18" s="1"/>
  <c r="G1029" i="18"/>
  <c r="F1029" i="18"/>
  <c r="E1029" i="18"/>
  <c r="D1029" i="18"/>
  <c r="C1029" i="18"/>
  <c r="B1029" i="18"/>
  <c r="H1028" i="18"/>
  <c r="I1028" i="18" s="1"/>
  <c r="G1028" i="18"/>
  <c r="F1028" i="18"/>
  <c r="E1028" i="18"/>
  <c r="D1028" i="18"/>
  <c r="C1028" i="18"/>
  <c r="B1028" i="18"/>
  <c r="H1027" i="18"/>
  <c r="I1027" i="18" s="1"/>
  <c r="G1027" i="18"/>
  <c r="F1027" i="18"/>
  <c r="E1027" i="18"/>
  <c r="D1027" i="18"/>
  <c r="C1027" i="18"/>
  <c r="B1027" i="18"/>
  <c r="H1026" i="18"/>
  <c r="I1026" i="18" s="1"/>
  <c r="G1026" i="18"/>
  <c r="F1026" i="18"/>
  <c r="E1026" i="18"/>
  <c r="D1026" i="18"/>
  <c r="C1026" i="18"/>
  <c r="B1026" i="18"/>
  <c r="H1025" i="18"/>
  <c r="I1025" i="18" s="1"/>
  <c r="G1025" i="18"/>
  <c r="F1025" i="18"/>
  <c r="E1025" i="18"/>
  <c r="D1025" i="18"/>
  <c r="C1025" i="18"/>
  <c r="B1025" i="18"/>
  <c r="H1024" i="18"/>
  <c r="I1024" i="18" s="1"/>
  <c r="G1024" i="18"/>
  <c r="F1024" i="18"/>
  <c r="E1024" i="18"/>
  <c r="D1024" i="18"/>
  <c r="C1024" i="18"/>
  <c r="B1024" i="18"/>
  <c r="H1023" i="18"/>
  <c r="I1023" i="18" s="1"/>
  <c r="G1023" i="18"/>
  <c r="F1023" i="18"/>
  <c r="E1023" i="18"/>
  <c r="D1023" i="18"/>
  <c r="C1023" i="18"/>
  <c r="B1023" i="18"/>
  <c r="H1022" i="18"/>
  <c r="I1022" i="18" s="1"/>
  <c r="G1022" i="18"/>
  <c r="F1022" i="18"/>
  <c r="E1022" i="18"/>
  <c r="D1022" i="18"/>
  <c r="C1022" i="18"/>
  <c r="B1022" i="18"/>
  <c r="H1021" i="18"/>
  <c r="I1021" i="18" s="1"/>
  <c r="G1021" i="18"/>
  <c r="F1021" i="18"/>
  <c r="E1021" i="18"/>
  <c r="D1021" i="18"/>
  <c r="C1021" i="18"/>
  <c r="B1021" i="18"/>
  <c r="H1020" i="18"/>
  <c r="I1020" i="18" s="1"/>
  <c r="G1020" i="18"/>
  <c r="F1020" i="18"/>
  <c r="E1020" i="18"/>
  <c r="D1020" i="18"/>
  <c r="C1020" i="18"/>
  <c r="B1020" i="18"/>
  <c r="H1019" i="18"/>
  <c r="I1019" i="18" s="1"/>
  <c r="G1019" i="18"/>
  <c r="F1019" i="18"/>
  <c r="E1019" i="18"/>
  <c r="D1019" i="18"/>
  <c r="C1019" i="18"/>
  <c r="B1019" i="18"/>
  <c r="H1018" i="18"/>
  <c r="I1018" i="18" s="1"/>
  <c r="G1018" i="18"/>
  <c r="F1018" i="18"/>
  <c r="E1018" i="18"/>
  <c r="D1018" i="18"/>
  <c r="C1018" i="18"/>
  <c r="B1018" i="18"/>
  <c r="H1017" i="18"/>
  <c r="I1017" i="18" s="1"/>
  <c r="G1017" i="18"/>
  <c r="F1017" i="18"/>
  <c r="E1017" i="18"/>
  <c r="D1017" i="18"/>
  <c r="C1017" i="18"/>
  <c r="B1017" i="18"/>
  <c r="H1016" i="18"/>
  <c r="I1016" i="18" s="1"/>
  <c r="G1016" i="18"/>
  <c r="F1016" i="18"/>
  <c r="E1016" i="18"/>
  <c r="D1016" i="18"/>
  <c r="C1016" i="18"/>
  <c r="B1016" i="18"/>
  <c r="H1015" i="18"/>
  <c r="I1015" i="18" s="1"/>
  <c r="G1015" i="18"/>
  <c r="F1015" i="18"/>
  <c r="E1015" i="18"/>
  <c r="D1015" i="18"/>
  <c r="C1015" i="18"/>
  <c r="B1015" i="18"/>
  <c r="H1014" i="18"/>
  <c r="I1014" i="18" s="1"/>
  <c r="G1014" i="18"/>
  <c r="F1014" i="18"/>
  <c r="E1014" i="18"/>
  <c r="D1014" i="18"/>
  <c r="C1014" i="18"/>
  <c r="B1014" i="18"/>
  <c r="H1013" i="18"/>
  <c r="I1013" i="18" s="1"/>
  <c r="G1013" i="18"/>
  <c r="F1013" i="18"/>
  <c r="E1013" i="18"/>
  <c r="D1013" i="18"/>
  <c r="C1013" i="18"/>
  <c r="B1013" i="18"/>
  <c r="H1012" i="18"/>
  <c r="I1012" i="18" s="1"/>
  <c r="G1012" i="18"/>
  <c r="F1012" i="18"/>
  <c r="E1012" i="18"/>
  <c r="D1012" i="18"/>
  <c r="C1012" i="18"/>
  <c r="B1012" i="18"/>
  <c r="H1011" i="18"/>
  <c r="I1011" i="18" s="1"/>
  <c r="G1011" i="18"/>
  <c r="F1011" i="18"/>
  <c r="E1011" i="18"/>
  <c r="D1011" i="18"/>
  <c r="C1011" i="18"/>
  <c r="B1011" i="18"/>
  <c r="H1010" i="18"/>
  <c r="I1010" i="18" s="1"/>
  <c r="G1010" i="18"/>
  <c r="F1010" i="18"/>
  <c r="E1010" i="18"/>
  <c r="D1010" i="18"/>
  <c r="C1010" i="18"/>
  <c r="B1010" i="18"/>
  <c r="H1009" i="18"/>
  <c r="I1009" i="18" s="1"/>
  <c r="G1009" i="18"/>
  <c r="F1009" i="18"/>
  <c r="E1009" i="18"/>
  <c r="D1009" i="18"/>
  <c r="C1009" i="18"/>
  <c r="B1009" i="18"/>
  <c r="H1008" i="18"/>
  <c r="I1008" i="18" s="1"/>
  <c r="G1008" i="18"/>
  <c r="F1008" i="18"/>
  <c r="E1008" i="18"/>
  <c r="D1008" i="18"/>
  <c r="C1008" i="18"/>
  <c r="B1008" i="18"/>
  <c r="H1007" i="18"/>
  <c r="I1007" i="18" s="1"/>
  <c r="G1007" i="18"/>
  <c r="F1007" i="18"/>
  <c r="E1007" i="18"/>
  <c r="D1007" i="18"/>
  <c r="C1007" i="18"/>
  <c r="B1007" i="18"/>
  <c r="H1006" i="18"/>
  <c r="I1006" i="18" s="1"/>
  <c r="G1006" i="18"/>
  <c r="F1006" i="18"/>
  <c r="E1006" i="18"/>
  <c r="D1006" i="18"/>
  <c r="C1006" i="18"/>
  <c r="B1006" i="18"/>
  <c r="H1005" i="18"/>
  <c r="I1005" i="18" s="1"/>
  <c r="G1005" i="18"/>
  <c r="F1005" i="18"/>
  <c r="E1005" i="18"/>
  <c r="D1005" i="18"/>
  <c r="C1005" i="18"/>
  <c r="B1005" i="18"/>
  <c r="H1004" i="18"/>
  <c r="I1004" i="18" s="1"/>
  <c r="G1004" i="18"/>
  <c r="F1004" i="18"/>
  <c r="E1004" i="18"/>
  <c r="D1004" i="18"/>
  <c r="C1004" i="18"/>
  <c r="B1004" i="18"/>
  <c r="H1003" i="18"/>
  <c r="I1003" i="18" s="1"/>
  <c r="G1003" i="18"/>
  <c r="F1003" i="18"/>
  <c r="E1003" i="18"/>
  <c r="D1003" i="18"/>
  <c r="C1003" i="18"/>
  <c r="B1003" i="18"/>
  <c r="H1002" i="18"/>
  <c r="I1002" i="18" s="1"/>
  <c r="G1002" i="18"/>
  <c r="F1002" i="18"/>
  <c r="E1002" i="18"/>
  <c r="D1002" i="18"/>
  <c r="C1002" i="18"/>
  <c r="B1002" i="18"/>
  <c r="H1001" i="18"/>
  <c r="I1001" i="18" s="1"/>
  <c r="G1001" i="18"/>
  <c r="F1001" i="18"/>
  <c r="E1001" i="18"/>
  <c r="D1001" i="18"/>
  <c r="C1001" i="18"/>
  <c r="B1001" i="18"/>
  <c r="H1000" i="18"/>
  <c r="I1000" i="18" s="1"/>
  <c r="G1000" i="18"/>
  <c r="F1000" i="18"/>
  <c r="E1000" i="18"/>
  <c r="D1000" i="18"/>
  <c r="C1000" i="18"/>
  <c r="B1000" i="18"/>
  <c r="H999" i="18"/>
  <c r="I999" i="18" s="1"/>
  <c r="G999" i="18"/>
  <c r="F999" i="18"/>
  <c r="E999" i="18"/>
  <c r="D999" i="18"/>
  <c r="C999" i="18"/>
  <c r="B999" i="18"/>
  <c r="H998" i="18"/>
  <c r="I998" i="18" s="1"/>
  <c r="G998" i="18"/>
  <c r="F998" i="18"/>
  <c r="E998" i="18"/>
  <c r="D998" i="18"/>
  <c r="C998" i="18"/>
  <c r="B998" i="18"/>
  <c r="H997" i="18"/>
  <c r="I997" i="18" s="1"/>
  <c r="G997" i="18"/>
  <c r="F997" i="18"/>
  <c r="E997" i="18"/>
  <c r="D997" i="18"/>
  <c r="C997" i="18"/>
  <c r="B997" i="18"/>
  <c r="H996" i="18"/>
  <c r="I996" i="18" s="1"/>
  <c r="G996" i="18"/>
  <c r="F996" i="18"/>
  <c r="E996" i="18"/>
  <c r="D996" i="18"/>
  <c r="C996" i="18"/>
  <c r="B996" i="18"/>
  <c r="H995" i="18"/>
  <c r="I995" i="18" s="1"/>
  <c r="G995" i="18"/>
  <c r="F995" i="18"/>
  <c r="E995" i="18"/>
  <c r="D995" i="18"/>
  <c r="C995" i="18"/>
  <c r="B995" i="18"/>
  <c r="H994" i="18"/>
  <c r="I994" i="18" s="1"/>
  <c r="G994" i="18"/>
  <c r="F994" i="18"/>
  <c r="E994" i="18"/>
  <c r="D994" i="18"/>
  <c r="C994" i="18"/>
  <c r="B994" i="18"/>
  <c r="H993" i="18"/>
  <c r="I993" i="18" s="1"/>
  <c r="G993" i="18"/>
  <c r="F993" i="18"/>
  <c r="E993" i="18"/>
  <c r="D993" i="18"/>
  <c r="C993" i="18"/>
  <c r="B993" i="18"/>
  <c r="H992" i="18"/>
  <c r="I992" i="18" s="1"/>
  <c r="G992" i="18"/>
  <c r="F992" i="18"/>
  <c r="E992" i="18"/>
  <c r="D992" i="18"/>
  <c r="C992" i="18"/>
  <c r="B992" i="18"/>
  <c r="H991" i="18"/>
  <c r="I991" i="18" s="1"/>
  <c r="G991" i="18"/>
  <c r="F991" i="18"/>
  <c r="E991" i="18"/>
  <c r="D991" i="18"/>
  <c r="C991" i="18"/>
  <c r="B991" i="18"/>
  <c r="H990" i="18"/>
  <c r="I990" i="18" s="1"/>
  <c r="G990" i="18"/>
  <c r="F990" i="18"/>
  <c r="E990" i="18"/>
  <c r="D990" i="18"/>
  <c r="C990" i="18"/>
  <c r="B990" i="18"/>
  <c r="H989" i="18"/>
  <c r="I989" i="18" s="1"/>
  <c r="G989" i="18"/>
  <c r="F989" i="18"/>
  <c r="E989" i="18"/>
  <c r="D989" i="18"/>
  <c r="C989" i="18"/>
  <c r="B989" i="18"/>
  <c r="H988" i="18"/>
  <c r="I988" i="18" s="1"/>
  <c r="G988" i="18"/>
  <c r="F988" i="18"/>
  <c r="E988" i="18"/>
  <c r="D988" i="18"/>
  <c r="C988" i="18"/>
  <c r="B988" i="18"/>
  <c r="H987" i="18"/>
  <c r="I987" i="18" s="1"/>
  <c r="G987" i="18"/>
  <c r="F987" i="18"/>
  <c r="E987" i="18"/>
  <c r="D987" i="18"/>
  <c r="C987" i="18"/>
  <c r="B987" i="18"/>
  <c r="H986" i="18"/>
  <c r="I986" i="18" s="1"/>
  <c r="G986" i="18"/>
  <c r="F986" i="18"/>
  <c r="E986" i="18"/>
  <c r="D986" i="18"/>
  <c r="C986" i="18"/>
  <c r="B986" i="18"/>
  <c r="H985" i="18"/>
  <c r="I985" i="18" s="1"/>
  <c r="G985" i="18"/>
  <c r="F985" i="18"/>
  <c r="E985" i="18"/>
  <c r="D985" i="18"/>
  <c r="C985" i="18"/>
  <c r="B985" i="18"/>
  <c r="H984" i="18"/>
  <c r="I984" i="18" s="1"/>
  <c r="G984" i="18"/>
  <c r="F984" i="18"/>
  <c r="E984" i="18"/>
  <c r="D984" i="18"/>
  <c r="C984" i="18"/>
  <c r="B984" i="18"/>
  <c r="H983" i="18"/>
  <c r="I983" i="18" s="1"/>
  <c r="G983" i="18"/>
  <c r="F983" i="18"/>
  <c r="E983" i="18"/>
  <c r="D983" i="18"/>
  <c r="C983" i="18"/>
  <c r="B983" i="18"/>
  <c r="H982" i="18"/>
  <c r="I982" i="18" s="1"/>
  <c r="G982" i="18"/>
  <c r="F982" i="18"/>
  <c r="E982" i="18"/>
  <c r="D982" i="18"/>
  <c r="C982" i="18"/>
  <c r="B982" i="18"/>
  <c r="H981" i="18"/>
  <c r="I981" i="18" s="1"/>
  <c r="G981" i="18"/>
  <c r="F981" i="18"/>
  <c r="E981" i="18"/>
  <c r="D981" i="18"/>
  <c r="C981" i="18"/>
  <c r="B981" i="18"/>
  <c r="H980" i="18"/>
  <c r="I980" i="18" s="1"/>
  <c r="G980" i="18"/>
  <c r="F980" i="18"/>
  <c r="E980" i="18"/>
  <c r="D980" i="18"/>
  <c r="C980" i="18"/>
  <c r="B980" i="18"/>
  <c r="H979" i="18"/>
  <c r="I979" i="18" s="1"/>
  <c r="G979" i="18"/>
  <c r="F979" i="18"/>
  <c r="E979" i="18"/>
  <c r="D979" i="18"/>
  <c r="C979" i="18"/>
  <c r="B979" i="18"/>
  <c r="H978" i="18"/>
  <c r="I978" i="18" s="1"/>
  <c r="G978" i="18"/>
  <c r="F978" i="18"/>
  <c r="E978" i="18"/>
  <c r="D978" i="18"/>
  <c r="C978" i="18"/>
  <c r="B978" i="18"/>
  <c r="H977" i="18"/>
  <c r="I977" i="18" s="1"/>
  <c r="G977" i="18"/>
  <c r="F977" i="18"/>
  <c r="E977" i="18"/>
  <c r="D977" i="18"/>
  <c r="C977" i="18"/>
  <c r="B977" i="18"/>
  <c r="H976" i="18"/>
  <c r="I976" i="18" s="1"/>
  <c r="G976" i="18"/>
  <c r="F976" i="18"/>
  <c r="E976" i="18"/>
  <c r="D976" i="18"/>
  <c r="C976" i="18"/>
  <c r="B976" i="18"/>
  <c r="H975" i="18"/>
  <c r="I975" i="18" s="1"/>
  <c r="G975" i="18"/>
  <c r="F975" i="18"/>
  <c r="E975" i="18"/>
  <c r="D975" i="18"/>
  <c r="C975" i="18"/>
  <c r="B975" i="18"/>
  <c r="H974" i="18"/>
  <c r="I974" i="18" s="1"/>
  <c r="G974" i="18"/>
  <c r="F974" i="18"/>
  <c r="E974" i="18"/>
  <c r="D974" i="18"/>
  <c r="C974" i="18"/>
  <c r="B974" i="18"/>
  <c r="H973" i="18"/>
  <c r="I973" i="18" s="1"/>
  <c r="G973" i="18"/>
  <c r="F973" i="18"/>
  <c r="E973" i="18"/>
  <c r="D973" i="18"/>
  <c r="C973" i="18"/>
  <c r="B973" i="18"/>
  <c r="H972" i="18"/>
  <c r="I972" i="18" s="1"/>
  <c r="G972" i="18"/>
  <c r="F972" i="18"/>
  <c r="E972" i="18"/>
  <c r="D972" i="18"/>
  <c r="C972" i="18"/>
  <c r="B972" i="18"/>
  <c r="H971" i="18"/>
  <c r="I971" i="18" s="1"/>
  <c r="G971" i="18"/>
  <c r="F971" i="18"/>
  <c r="E971" i="18"/>
  <c r="D971" i="18"/>
  <c r="C971" i="18"/>
  <c r="B971" i="18"/>
  <c r="H970" i="18"/>
  <c r="I970" i="18" s="1"/>
  <c r="G970" i="18"/>
  <c r="F970" i="18"/>
  <c r="E970" i="18"/>
  <c r="D970" i="18"/>
  <c r="C970" i="18"/>
  <c r="B970" i="18"/>
  <c r="H969" i="18"/>
  <c r="I969" i="18" s="1"/>
  <c r="G969" i="18"/>
  <c r="F969" i="18"/>
  <c r="E969" i="18"/>
  <c r="D969" i="18"/>
  <c r="C969" i="18"/>
  <c r="B969" i="18"/>
  <c r="H968" i="18"/>
  <c r="I968" i="18" s="1"/>
  <c r="G968" i="18"/>
  <c r="F968" i="18"/>
  <c r="E968" i="18"/>
  <c r="D968" i="18"/>
  <c r="C968" i="18"/>
  <c r="B968" i="18"/>
  <c r="H967" i="18"/>
  <c r="I967" i="18" s="1"/>
  <c r="G967" i="18"/>
  <c r="F967" i="18"/>
  <c r="E967" i="18"/>
  <c r="D967" i="18"/>
  <c r="C967" i="18"/>
  <c r="B967" i="18"/>
  <c r="H966" i="18"/>
  <c r="I966" i="18" s="1"/>
  <c r="G966" i="18"/>
  <c r="F966" i="18"/>
  <c r="E966" i="18"/>
  <c r="D966" i="18"/>
  <c r="C966" i="18"/>
  <c r="B966" i="18"/>
  <c r="H965" i="18"/>
  <c r="I965" i="18" s="1"/>
  <c r="G965" i="18"/>
  <c r="F965" i="18"/>
  <c r="E965" i="18"/>
  <c r="D965" i="18"/>
  <c r="C965" i="18"/>
  <c r="B965" i="18"/>
  <c r="H964" i="18"/>
  <c r="I964" i="18" s="1"/>
  <c r="G964" i="18"/>
  <c r="F964" i="18"/>
  <c r="E964" i="18"/>
  <c r="D964" i="18"/>
  <c r="C964" i="18"/>
  <c r="B964" i="18"/>
  <c r="H963" i="18"/>
  <c r="I963" i="18" s="1"/>
  <c r="G963" i="18"/>
  <c r="F963" i="18"/>
  <c r="E963" i="18"/>
  <c r="D963" i="18"/>
  <c r="C963" i="18"/>
  <c r="B963" i="18"/>
  <c r="H962" i="18"/>
  <c r="I962" i="18" s="1"/>
  <c r="G962" i="18"/>
  <c r="F962" i="18"/>
  <c r="E962" i="18"/>
  <c r="D962" i="18"/>
  <c r="C962" i="18"/>
  <c r="B962" i="18"/>
  <c r="H961" i="18"/>
  <c r="I961" i="18" s="1"/>
  <c r="G961" i="18"/>
  <c r="F961" i="18"/>
  <c r="E961" i="18"/>
  <c r="D961" i="18"/>
  <c r="C961" i="18"/>
  <c r="B961" i="18"/>
  <c r="H960" i="18"/>
  <c r="I960" i="18" s="1"/>
  <c r="G960" i="18"/>
  <c r="F960" i="18"/>
  <c r="E960" i="18"/>
  <c r="D960" i="18"/>
  <c r="C960" i="18"/>
  <c r="B960" i="18"/>
  <c r="H959" i="18"/>
  <c r="I959" i="18" s="1"/>
  <c r="G959" i="18"/>
  <c r="F959" i="18"/>
  <c r="E959" i="18"/>
  <c r="D959" i="18"/>
  <c r="C959" i="18"/>
  <c r="B959" i="18"/>
  <c r="H958" i="18"/>
  <c r="I958" i="18" s="1"/>
  <c r="G958" i="18"/>
  <c r="F958" i="18"/>
  <c r="E958" i="18"/>
  <c r="D958" i="18"/>
  <c r="C958" i="18"/>
  <c r="B958" i="18"/>
  <c r="H957" i="18"/>
  <c r="I957" i="18" s="1"/>
  <c r="G957" i="18"/>
  <c r="F957" i="18"/>
  <c r="E957" i="18"/>
  <c r="D957" i="18"/>
  <c r="C957" i="18"/>
  <c r="B957" i="18"/>
  <c r="H956" i="18"/>
  <c r="I956" i="18" s="1"/>
  <c r="G956" i="18"/>
  <c r="F956" i="18"/>
  <c r="E956" i="18"/>
  <c r="D956" i="18"/>
  <c r="C956" i="18"/>
  <c r="B956" i="18"/>
  <c r="H955" i="18"/>
  <c r="I955" i="18" s="1"/>
  <c r="G955" i="18"/>
  <c r="F955" i="18"/>
  <c r="E955" i="18"/>
  <c r="D955" i="18"/>
  <c r="C955" i="18"/>
  <c r="B955" i="18"/>
  <c r="H954" i="18"/>
  <c r="I954" i="18" s="1"/>
  <c r="G954" i="18"/>
  <c r="F954" i="18"/>
  <c r="E954" i="18"/>
  <c r="D954" i="18"/>
  <c r="C954" i="18"/>
  <c r="B954" i="18"/>
  <c r="H953" i="18"/>
  <c r="I953" i="18" s="1"/>
  <c r="G953" i="18"/>
  <c r="F953" i="18"/>
  <c r="E953" i="18"/>
  <c r="D953" i="18"/>
  <c r="C953" i="18"/>
  <c r="B953" i="18"/>
  <c r="H952" i="18"/>
  <c r="I952" i="18" s="1"/>
  <c r="G952" i="18"/>
  <c r="F952" i="18"/>
  <c r="E952" i="18"/>
  <c r="D952" i="18"/>
  <c r="C952" i="18"/>
  <c r="B952" i="18"/>
  <c r="H951" i="18"/>
  <c r="I951" i="18" s="1"/>
  <c r="G951" i="18"/>
  <c r="F951" i="18"/>
  <c r="E951" i="18"/>
  <c r="D951" i="18"/>
  <c r="C951" i="18"/>
  <c r="B951" i="18"/>
  <c r="H950" i="18"/>
  <c r="I950" i="18" s="1"/>
  <c r="G950" i="18"/>
  <c r="F950" i="18"/>
  <c r="E950" i="18"/>
  <c r="D950" i="18"/>
  <c r="C950" i="18"/>
  <c r="B950" i="18"/>
  <c r="H949" i="18"/>
  <c r="I949" i="18" s="1"/>
  <c r="G949" i="18"/>
  <c r="F949" i="18"/>
  <c r="E949" i="18"/>
  <c r="D949" i="18"/>
  <c r="C949" i="18"/>
  <c r="B949" i="18"/>
  <c r="H948" i="18"/>
  <c r="I948" i="18" s="1"/>
  <c r="G948" i="18"/>
  <c r="F948" i="18"/>
  <c r="E948" i="18"/>
  <c r="D948" i="18"/>
  <c r="C948" i="18"/>
  <c r="B948" i="18"/>
  <c r="H947" i="18"/>
  <c r="I947" i="18" s="1"/>
  <c r="G947" i="18"/>
  <c r="F947" i="18"/>
  <c r="E947" i="18"/>
  <c r="D947" i="18"/>
  <c r="C947" i="18"/>
  <c r="B947" i="18"/>
  <c r="H946" i="18"/>
  <c r="I946" i="18" s="1"/>
  <c r="G946" i="18"/>
  <c r="F946" i="18"/>
  <c r="E946" i="18"/>
  <c r="D946" i="18"/>
  <c r="C946" i="18"/>
  <c r="B946" i="18"/>
  <c r="H945" i="18"/>
  <c r="I945" i="18" s="1"/>
  <c r="G945" i="18"/>
  <c r="F945" i="18"/>
  <c r="E945" i="18"/>
  <c r="D945" i="18"/>
  <c r="C945" i="18"/>
  <c r="B945" i="18"/>
  <c r="H944" i="18"/>
  <c r="I944" i="18" s="1"/>
  <c r="G944" i="18"/>
  <c r="F944" i="18"/>
  <c r="E944" i="18"/>
  <c r="D944" i="18"/>
  <c r="C944" i="18"/>
  <c r="B944" i="18"/>
  <c r="H943" i="18"/>
  <c r="I943" i="18" s="1"/>
  <c r="G943" i="18"/>
  <c r="F943" i="18"/>
  <c r="E943" i="18"/>
  <c r="D943" i="18"/>
  <c r="C943" i="18"/>
  <c r="B943" i="18"/>
  <c r="H942" i="18"/>
  <c r="I942" i="18" s="1"/>
  <c r="G942" i="18"/>
  <c r="F942" i="18"/>
  <c r="E942" i="18"/>
  <c r="D942" i="18"/>
  <c r="C942" i="18"/>
  <c r="B942" i="18"/>
  <c r="H941" i="18"/>
  <c r="I941" i="18" s="1"/>
  <c r="G941" i="18"/>
  <c r="F941" i="18"/>
  <c r="E941" i="18"/>
  <c r="D941" i="18"/>
  <c r="C941" i="18"/>
  <c r="B941" i="18"/>
  <c r="H940" i="18"/>
  <c r="I940" i="18" s="1"/>
  <c r="G940" i="18"/>
  <c r="F940" i="18"/>
  <c r="E940" i="18"/>
  <c r="D940" i="18"/>
  <c r="C940" i="18"/>
  <c r="B940" i="18"/>
  <c r="H939" i="18"/>
  <c r="I939" i="18" s="1"/>
  <c r="G939" i="18"/>
  <c r="F939" i="18"/>
  <c r="E939" i="18"/>
  <c r="D939" i="18"/>
  <c r="C939" i="18"/>
  <c r="B939" i="18"/>
  <c r="H938" i="18"/>
  <c r="I938" i="18" s="1"/>
  <c r="G938" i="18"/>
  <c r="F938" i="18"/>
  <c r="E938" i="18"/>
  <c r="D938" i="18"/>
  <c r="C938" i="18"/>
  <c r="B938" i="18"/>
  <c r="H937" i="18"/>
  <c r="I937" i="18" s="1"/>
  <c r="G937" i="18"/>
  <c r="F937" i="18"/>
  <c r="E937" i="18"/>
  <c r="D937" i="18"/>
  <c r="C937" i="18"/>
  <c r="B937" i="18"/>
  <c r="H936" i="18"/>
  <c r="I936" i="18" s="1"/>
  <c r="G936" i="18"/>
  <c r="F936" i="18"/>
  <c r="E936" i="18"/>
  <c r="D936" i="18"/>
  <c r="C936" i="18"/>
  <c r="B936" i="18"/>
  <c r="H935" i="18"/>
  <c r="I935" i="18" s="1"/>
  <c r="G935" i="18"/>
  <c r="F935" i="18"/>
  <c r="E935" i="18"/>
  <c r="D935" i="18"/>
  <c r="C935" i="18"/>
  <c r="B935" i="18"/>
  <c r="H934" i="18"/>
  <c r="I934" i="18" s="1"/>
  <c r="G934" i="18"/>
  <c r="F934" i="18"/>
  <c r="E934" i="18"/>
  <c r="D934" i="18"/>
  <c r="C934" i="18"/>
  <c r="B934" i="18"/>
  <c r="H933" i="18"/>
  <c r="I933" i="18" s="1"/>
  <c r="G933" i="18"/>
  <c r="F933" i="18"/>
  <c r="E933" i="18"/>
  <c r="D933" i="18"/>
  <c r="C933" i="18"/>
  <c r="B933" i="18"/>
  <c r="H932" i="18"/>
  <c r="I932" i="18" s="1"/>
  <c r="G932" i="18"/>
  <c r="F932" i="18"/>
  <c r="E932" i="18"/>
  <c r="D932" i="18"/>
  <c r="C932" i="18"/>
  <c r="B932" i="18"/>
  <c r="H931" i="18"/>
  <c r="I931" i="18" s="1"/>
  <c r="G931" i="18"/>
  <c r="F931" i="18"/>
  <c r="E931" i="18"/>
  <c r="D931" i="18"/>
  <c r="C931" i="18"/>
  <c r="B931" i="18"/>
  <c r="H930" i="18"/>
  <c r="I930" i="18" s="1"/>
  <c r="G930" i="18"/>
  <c r="F930" i="18"/>
  <c r="E930" i="18"/>
  <c r="D930" i="18"/>
  <c r="C930" i="18"/>
  <c r="B930" i="18"/>
  <c r="H929" i="18"/>
  <c r="I929" i="18" s="1"/>
  <c r="G929" i="18"/>
  <c r="F929" i="18"/>
  <c r="E929" i="18"/>
  <c r="D929" i="18"/>
  <c r="C929" i="18"/>
  <c r="B929" i="18"/>
  <c r="H928" i="18"/>
  <c r="I928" i="18" s="1"/>
  <c r="G928" i="18"/>
  <c r="F928" i="18"/>
  <c r="E928" i="18"/>
  <c r="D928" i="18"/>
  <c r="C928" i="18"/>
  <c r="B928" i="18"/>
  <c r="H927" i="18"/>
  <c r="I927" i="18" s="1"/>
  <c r="G927" i="18"/>
  <c r="F927" i="18"/>
  <c r="E927" i="18"/>
  <c r="D927" i="18"/>
  <c r="C927" i="18"/>
  <c r="B927" i="18"/>
  <c r="H926" i="18"/>
  <c r="I926" i="18" s="1"/>
  <c r="G926" i="18"/>
  <c r="F926" i="18"/>
  <c r="E926" i="18"/>
  <c r="D926" i="18"/>
  <c r="C926" i="18"/>
  <c r="B926" i="18"/>
  <c r="H925" i="18"/>
  <c r="I925" i="18" s="1"/>
  <c r="G925" i="18"/>
  <c r="F925" i="18"/>
  <c r="E925" i="18"/>
  <c r="D925" i="18"/>
  <c r="C925" i="18"/>
  <c r="B925" i="18"/>
  <c r="H924" i="18"/>
  <c r="I924" i="18" s="1"/>
  <c r="G924" i="18"/>
  <c r="F924" i="18"/>
  <c r="E924" i="18"/>
  <c r="D924" i="18"/>
  <c r="C924" i="18"/>
  <c r="B924" i="18"/>
  <c r="H923" i="18"/>
  <c r="I923" i="18" s="1"/>
  <c r="G923" i="18"/>
  <c r="F923" i="18"/>
  <c r="E923" i="18"/>
  <c r="D923" i="18"/>
  <c r="C923" i="18"/>
  <c r="B923" i="18"/>
  <c r="H922" i="18"/>
  <c r="I922" i="18" s="1"/>
  <c r="G922" i="18"/>
  <c r="F922" i="18"/>
  <c r="E922" i="18"/>
  <c r="D922" i="18"/>
  <c r="C922" i="18"/>
  <c r="B922" i="18"/>
  <c r="H921" i="18"/>
  <c r="I921" i="18" s="1"/>
  <c r="G921" i="18"/>
  <c r="F921" i="18"/>
  <c r="E921" i="18"/>
  <c r="D921" i="18"/>
  <c r="C921" i="18"/>
  <c r="B921" i="18"/>
  <c r="H920" i="18"/>
  <c r="I920" i="18" s="1"/>
  <c r="G920" i="18"/>
  <c r="F920" i="18"/>
  <c r="E920" i="18"/>
  <c r="D920" i="18"/>
  <c r="C920" i="18"/>
  <c r="B920" i="18"/>
  <c r="H919" i="18"/>
  <c r="I919" i="18" s="1"/>
  <c r="G919" i="18"/>
  <c r="F919" i="18"/>
  <c r="E919" i="18"/>
  <c r="D919" i="18"/>
  <c r="C919" i="18"/>
  <c r="B919" i="18"/>
  <c r="H918" i="18"/>
  <c r="I918" i="18" s="1"/>
  <c r="G918" i="18"/>
  <c r="F918" i="18"/>
  <c r="E918" i="18"/>
  <c r="D918" i="18"/>
  <c r="C918" i="18"/>
  <c r="B918" i="18"/>
  <c r="H917" i="18"/>
  <c r="I917" i="18" s="1"/>
  <c r="G917" i="18"/>
  <c r="F917" i="18"/>
  <c r="E917" i="18"/>
  <c r="D917" i="18"/>
  <c r="C917" i="18"/>
  <c r="B917" i="18"/>
  <c r="H916" i="18"/>
  <c r="I916" i="18" s="1"/>
  <c r="G916" i="18"/>
  <c r="F916" i="18"/>
  <c r="E916" i="18"/>
  <c r="D916" i="18"/>
  <c r="C916" i="18"/>
  <c r="B916" i="18"/>
  <c r="H915" i="18"/>
  <c r="I915" i="18" s="1"/>
  <c r="G915" i="18"/>
  <c r="F915" i="18"/>
  <c r="E915" i="18"/>
  <c r="D915" i="18"/>
  <c r="C915" i="18"/>
  <c r="B915" i="18"/>
  <c r="H914" i="18"/>
  <c r="I914" i="18" s="1"/>
  <c r="G914" i="18"/>
  <c r="F914" i="18"/>
  <c r="E914" i="18"/>
  <c r="D914" i="18"/>
  <c r="C914" i="18"/>
  <c r="B914" i="18"/>
  <c r="H913" i="18"/>
  <c r="I913" i="18" s="1"/>
  <c r="G913" i="18"/>
  <c r="F913" i="18"/>
  <c r="E913" i="18"/>
  <c r="D913" i="18"/>
  <c r="C913" i="18"/>
  <c r="B913" i="18"/>
  <c r="H912" i="18"/>
  <c r="I912" i="18" s="1"/>
  <c r="G912" i="18"/>
  <c r="F912" i="18"/>
  <c r="E912" i="18"/>
  <c r="D912" i="18"/>
  <c r="C912" i="18"/>
  <c r="B912" i="18"/>
  <c r="H911" i="18"/>
  <c r="I911" i="18" s="1"/>
  <c r="G911" i="18"/>
  <c r="F911" i="18"/>
  <c r="E911" i="18"/>
  <c r="D911" i="18"/>
  <c r="C911" i="18"/>
  <c r="B911" i="18"/>
  <c r="H910" i="18"/>
  <c r="I910" i="18" s="1"/>
  <c r="G910" i="18"/>
  <c r="F910" i="18"/>
  <c r="E910" i="18"/>
  <c r="D910" i="18"/>
  <c r="C910" i="18"/>
  <c r="B910" i="18"/>
  <c r="H909" i="18"/>
  <c r="I909" i="18" s="1"/>
  <c r="G909" i="18"/>
  <c r="F909" i="18"/>
  <c r="E909" i="18"/>
  <c r="D909" i="18"/>
  <c r="C909" i="18"/>
  <c r="B909" i="18"/>
  <c r="H908" i="18"/>
  <c r="I908" i="18" s="1"/>
  <c r="G908" i="18"/>
  <c r="F908" i="18"/>
  <c r="E908" i="18"/>
  <c r="D908" i="18"/>
  <c r="C908" i="18"/>
  <c r="B908" i="18"/>
  <c r="H907" i="18"/>
  <c r="I907" i="18" s="1"/>
  <c r="G907" i="18"/>
  <c r="F907" i="18"/>
  <c r="E907" i="18"/>
  <c r="D907" i="18"/>
  <c r="C907" i="18"/>
  <c r="B907" i="18"/>
  <c r="H906" i="18"/>
  <c r="I906" i="18" s="1"/>
  <c r="G906" i="18"/>
  <c r="F906" i="18"/>
  <c r="E906" i="18"/>
  <c r="D906" i="18"/>
  <c r="C906" i="18"/>
  <c r="B906" i="18"/>
  <c r="H905" i="18"/>
  <c r="I905" i="18" s="1"/>
  <c r="G905" i="18"/>
  <c r="F905" i="18"/>
  <c r="E905" i="18"/>
  <c r="D905" i="18"/>
  <c r="C905" i="18"/>
  <c r="B905" i="18"/>
  <c r="H904" i="18"/>
  <c r="I904" i="18" s="1"/>
  <c r="G904" i="18"/>
  <c r="F904" i="18"/>
  <c r="E904" i="18"/>
  <c r="D904" i="18"/>
  <c r="C904" i="18"/>
  <c r="B904" i="18"/>
  <c r="H903" i="18"/>
  <c r="I903" i="18" s="1"/>
  <c r="G903" i="18"/>
  <c r="F903" i="18"/>
  <c r="E903" i="18"/>
  <c r="D903" i="18"/>
  <c r="C903" i="18"/>
  <c r="B903" i="18"/>
  <c r="H902" i="18"/>
  <c r="I902" i="18" s="1"/>
  <c r="G902" i="18"/>
  <c r="F902" i="18"/>
  <c r="E902" i="18"/>
  <c r="D902" i="18"/>
  <c r="C902" i="18"/>
  <c r="B902" i="18"/>
  <c r="H901" i="18"/>
  <c r="I901" i="18" s="1"/>
  <c r="G901" i="18"/>
  <c r="F901" i="18"/>
  <c r="E901" i="18"/>
  <c r="D901" i="18"/>
  <c r="C901" i="18"/>
  <c r="B901" i="18"/>
  <c r="H900" i="18"/>
  <c r="I900" i="18" s="1"/>
  <c r="G900" i="18"/>
  <c r="F900" i="18"/>
  <c r="E900" i="18"/>
  <c r="D900" i="18"/>
  <c r="C900" i="18"/>
  <c r="B900" i="18"/>
  <c r="H899" i="18"/>
  <c r="I899" i="18" s="1"/>
  <c r="G899" i="18"/>
  <c r="F899" i="18"/>
  <c r="E899" i="18"/>
  <c r="D899" i="18"/>
  <c r="C899" i="18"/>
  <c r="B899" i="18"/>
  <c r="H898" i="18"/>
  <c r="I898" i="18" s="1"/>
  <c r="G898" i="18"/>
  <c r="F898" i="18"/>
  <c r="E898" i="18"/>
  <c r="D898" i="18"/>
  <c r="C898" i="18"/>
  <c r="B898" i="18"/>
  <c r="H897" i="18"/>
  <c r="I897" i="18" s="1"/>
  <c r="G897" i="18"/>
  <c r="F897" i="18"/>
  <c r="E897" i="18"/>
  <c r="D897" i="18"/>
  <c r="C897" i="18"/>
  <c r="B897" i="18"/>
  <c r="H896" i="18"/>
  <c r="I896" i="18" s="1"/>
  <c r="G896" i="18"/>
  <c r="F896" i="18"/>
  <c r="E896" i="18"/>
  <c r="D896" i="18"/>
  <c r="C896" i="18"/>
  <c r="B896" i="18"/>
  <c r="H895" i="18"/>
  <c r="I895" i="18" s="1"/>
  <c r="G895" i="18"/>
  <c r="F895" i="18"/>
  <c r="E895" i="18"/>
  <c r="D895" i="18"/>
  <c r="C895" i="18"/>
  <c r="B895" i="18"/>
  <c r="H894" i="18"/>
  <c r="I894" i="18" s="1"/>
  <c r="G894" i="18"/>
  <c r="F894" i="18"/>
  <c r="E894" i="18"/>
  <c r="D894" i="18"/>
  <c r="C894" i="18"/>
  <c r="B894" i="18"/>
  <c r="H893" i="18"/>
  <c r="I893" i="18" s="1"/>
  <c r="G893" i="18"/>
  <c r="F893" i="18"/>
  <c r="E893" i="18"/>
  <c r="D893" i="18"/>
  <c r="C893" i="18"/>
  <c r="B893" i="18"/>
  <c r="H892" i="18"/>
  <c r="I892" i="18" s="1"/>
  <c r="G892" i="18"/>
  <c r="F892" i="18"/>
  <c r="E892" i="18"/>
  <c r="D892" i="18"/>
  <c r="C892" i="18"/>
  <c r="B892" i="18"/>
  <c r="H891" i="18"/>
  <c r="I891" i="18" s="1"/>
  <c r="G891" i="18"/>
  <c r="F891" i="18"/>
  <c r="E891" i="18"/>
  <c r="D891" i="18"/>
  <c r="C891" i="18"/>
  <c r="B891" i="18"/>
  <c r="H890" i="18"/>
  <c r="I890" i="18" s="1"/>
  <c r="G890" i="18"/>
  <c r="F890" i="18"/>
  <c r="E890" i="18"/>
  <c r="D890" i="18"/>
  <c r="C890" i="18"/>
  <c r="B890" i="18"/>
  <c r="H889" i="18"/>
  <c r="I889" i="18" s="1"/>
  <c r="G889" i="18"/>
  <c r="F889" i="18"/>
  <c r="E889" i="18"/>
  <c r="D889" i="18"/>
  <c r="C889" i="18"/>
  <c r="B889" i="18"/>
  <c r="H888" i="18"/>
  <c r="I888" i="18" s="1"/>
  <c r="G888" i="18"/>
  <c r="F888" i="18"/>
  <c r="E888" i="18"/>
  <c r="D888" i="18"/>
  <c r="C888" i="18"/>
  <c r="B888" i="18"/>
  <c r="H887" i="18"/>
  <c r="I887" i="18" s="1"/>
  <c r="G887" i="18"/>
  <c r="F887" i="18"/>
  <c r="E887" i="18"/>
  <c r="D887" i="18"/>
  <c r="C887" i="18"/>
  <c r="B887" i="18"/>
  <c r="H886" i="18"/>
  <c r="I886" i="18" s="1"/>
  <c r="G886" i="18"/>
  <c r="F886" i="18"/>
  <c r="E886" i="18"/>
  <c r="D886" i="18"/>
  <c r="C886" i="18"/>
  <c r="B886" i="18"/>
  <c r="H885" i="18"/>
  <c r="I885" i="18" s="1"/>
  <c r="G885" i="18"/>
  <c r="F885" i="18"/>
  <c r="E885" i="18"/>
  <c r="D885" i="18"/>
  <c r="C885" i="18"/>
  <c r="B885" i="18"/>
  <c r="H884" i="18"/>
  <c r="I884" i="18" s="1"/>
  <c r="G884" i="18"/>
  <c r="F884" i="18"/>
  <c r="E884" i="18"/>
  <c r="D884" i="18"/>
  <c r="C884" i="18"/>
  <c r="B884" i="18"/>
  <c r="H883" i="18"/>
  <c r="I883" i="18" s="1"/>
  <c r="G883" i="18"/>
  <c r="F883" i="18"/>
  <c r="E883" i="18"/>
  <c r="D883" i="18"/>
  <c r="C883" i="18"/>
  <c r="B883" i="18"/>
  <c r="H882" i="18"/>
  <c r="I882" i="18" s="1"/>
  <c r="G882" i="18"/>
  <c r="F882" i="18"/>
  <c r="E882" i="18"/>
  <c r="D882" i="18"/>
  <c r="C882" i="18"/>
  <c r="B882" i="18"/>
  <c r="H881" i="18"/>
  <c r="I881" i="18" s="1"/>
  <c r="G881" i="18"/>
  <c r="F881" i="18"/>
  <c r="E881" i="18"/>
  <c r="D881" i="18"/>
  <c r="C881" i="18"/>
  <c r="B881" i="18"/>
  <c r="H880" i="18"/>
  <c r="I880" i="18" s="1"/>
  <c r="G880" i="18"/>
  <c r="F880" i="18"/>
  <c r="E880" i="18"/>
  <c r="D880" i="18"/>
  <c r="C880" i="18"/>
  <c r="B880" i="18"/>
  <c r="H879" i="18"/>
  <c r="I879" i="18" s="1"/>
  <c r="G879" i="18"/>
  <c r="F879" i="18"/>
  <c r="E879" i="18"/>
  <c r="D879" i="18"/>
  <c r="C879" i="18"/>
  <c r="B879" i="18"/>
  <c r="H878" i="18"/>
  <c r="I878" i="18" s="1"/>
  <c r="G878" i="18"/>
  <c r="F878" i="18"/>
  <c r="E878" i="18"/>
  <c r="D878" i="18"/>
  <c r="C878" i="18"/>
  <c r="B878" i="18"/>
  <c r="H877" i="18"/>
  <c r="I877" i="18" s="1"/>
  <c r="G877" i="18"/>
  <c r="F877" i="18"/>
  <c r="E877" i="18"/>
  <c r="D877" i="18"/>
  <c r="C877" i="18"/>
  <c r="B877" i="18"/>
  <c r="H876" i="18"/>
  <c r="I876" i="18" s="1"/>
  <c r="G876" i="18"/>
  <c r="F876" i="18"/>
  <c r="E876" i="18"/>
  <c r="D876" i="18"/>
  <c r="C876" i="18"/>
  <c r="B876" i="18"/>
  <c r="H875" i="18"/>
  <c r="I875" i="18" s="1"/>
  <c r="G875" i="18"/>
  <c r="F875" i="18"/>
  <c r="E875" i="18"/>
  <c r="D875" i="18"/>
  <c r="C875" i="18"/>
  <c r="B875" i="18"/>
  <c r="H874" i="18"/>
  <c r="I874" i="18" s="1"/>
  <c r="G874" i="18"/>
  <c r="F874" i="18"/>
  <c r="E874" i="18"/>
  <c r="D874" i="18"/>
  <c r="C874" i="18"/>
  <c r="B874" i="18"/>
  <c r="H873" i="18"/>
  <c r="I873" i="18" s="1"/>
  <c r="G873" i="18"/>
  <c r="F873" i="18"/>
  <c r="E873" i="18"/>
  <c r="D873" i="18"/>
  <c r="C873" i="18"/>
  <c r="B873" i="18"/>
  <c r="H872" i="18"/>
  <c r="I872" i="18" s="1"/>
  <c r="G872" i="18"/>
  <c r="F872" i="18"/>
  <c r="E872" i="18"/>
  <c r="D872" i="18"/>
  <c r="C872" i="18"/>
  <c r="B872" i="18"/>
  <c r="H871" i="18"/>
  <c r="I871" i="18" s="1"/>
  <c r="G871" i="18"/>
  <c r="F871" i="18"/>
  <c r="E871" i="18"/>
  <c r="D871" i="18"/>
  <c r="C871" i="18"/>
  <c r="B871" i="18"/>
  <c r="H870" i="18"/>
  <c r="I870" i="18" s="1"/>
  <c r="G870" i="18"/>
  <c r="F870" i="18"/>
  <c r="E870" i="18"/>
  <c r="D870" i="18"/>
  <c r="C870" i="18"/>
  <c r="B870" i="18"/>
  <c r="H869" i="18"/>
  <c r="I869" i="18" s="1"/>
  <c r="G869" i="18"/>
  <c r="F869" i="18"/>
  <c r="E869" i="18"/>
  <c r="D869" i="18"/>
  <c r="C869" i="18"/>
  <c r="B869" i="18"/>
  <c r="H868" i="18"/>
  <c r="I868" i="18" s="1"/>
  <c r="G868" i="18"/>
  <c r="F868" i="18"/>
  <c r="E868" i="18"/>
  <c r="D868" i="18"/>
  <c r="C868" i="18"/>
  <c r="B868" i="18"/>
  <c r="H867" i="18"/>
  <c r="I867" i="18" s="1"/>
  <c r="G867" i="18"/>
  <c r="F867" i="18"/>
  <c r="E867" i="18"/>
  <c r="D867" i="18"/>
  <c r="C867" i="18"/>
  <c r="B867" i="18"/>
  <c r="H866" i="18"/>
  <c r="I866" i="18" s="1"/>
  <c r="G866" i="18"/>
  <c r="F866" i="18"/>
  <c r="E866" i="18"/>
  <c r="D866" i="18"/>
  <c r="C866" i="18"/>
  <c r="B866" i="18"/>
  <c r="H865" i="18"/>
  <c r="I865" i="18" s="1"/>
  <c r="G865" i="18"/>
  <c r="F865" i="18"/>
  <c r="E865" i="18"/>
  <c r="D865" i="18"/>
  <c r="C865" i="18"/>
  <c r="B865" i="18"/>
  <c r="H864" i="18"/>
  <c r="I864" i="18" s="1"/>
  <c r="G864" i="18"/>
  <c r="F864" i="18"/>
  <c r="E864" i="18"/>
  <c r="D864" i="18"/>
  <c r="C864" i="18"/>
  <c r="B864" i="18"/>
  <c r="H863" i="18"/>
  <c r="I863" i="18" s="1"/>
  <c r="G863" i="18"/>
  <c r="F863" i="18"/>
  <c r="E863" i="18"/>
  <c r="D863" i="18"/>
  <c r="C863" i="18"/>
  <c r="B863" i="18"/>
  <c r="H862" i="18"/>
  <c r="I862" i="18" s="1"/>
  <c r="G862" i="18"/>
  <c r="F862" i="18"/>
  <c r="E862" i="18"/>
  <c r="D862" i="18"/>
  <c r="C862" i="18"/>
  <c r="B862" i="18"/>
  <c r="H861" i="18"/>
  <c r="I861" i="18" s="1"/>
  <c r="G861" i="18"/>
  <c r="F861" i="18"/>
  <c r="E861" i="18"/>
  <c r="D861" i="18"/>
  <c r="C861" i="18"/>
  <c r="B861" i="18"/>
  <c r="H860" i="18"/>
  <c r="I860" i="18" s="1"/>
  <c r="G860" i="18"/>
  <c r="F860" i="18"/>
  <c r="E860" i="18"/>
  <c r="D860" i="18"/>
  <c r="C860" i="18"/>
  <c r="B860" i="18"/>
  <c r="H859" i="18"/>
  <c r="I859" i="18" s="1"/>
  <c r="G859" i="18"/>
  <c r="F859" i="18"/>
  <c r="E859" i="18"/>
  <c r="D859" i="18"/>
  <c r="C859" i="18"/>
  <c r="B859" i="18"/>
  <c r="H858" i="18"/>
  <c r="I858" i="18" s="1"/>
  <c r="G858" i="18"/>
  <c r="F858" i="18"/>
  <c r="E858" i="18"/>
  <c r="D858" i="18"/>
  <c r="C858" i="18"/>
  <c r="B858" i="18"/>
  <c r="H857" i="18"/>
  <c r="I857" i="18" s="1"/>
  <c r="G857" i="18"/>
  <c r="F857" i="18"/>
  <c r="E857" i="18"/>
  <c r="D857" i="18"/>
  <c r="C857" i="18"/>
  <c r="B857" i="18"/>
  <c r="H856" i="18"/>
  <c r="I856" i="18" s="1"/>
  <c r="G856" i="18"/>
  <c r="F856" i="18"/>
  <c r="E856" i="18"/>
  <c r="D856" i="18"/>
  <c r="C856" i="18"/>
  <c r="B856" i="18"/>
  <c r="H855" i="18"/>
  <c r="I855" i="18" s="1"/>
  <c r="G855" i="18"/>
  <c r="F855" i="18"/>
  <c r="E855" i="18"/>
  <c r="D855" i="18"/>
  <c r="C855" i="18"/>
  <c r="B855" i="18"/>
  <c r="H854" i="18"/>
  <c r="I854" i="18" s="1"/>
  <c r="G854" i="18"/>
  <c r="F854" i="18"/>
  <c r="E854" i="18"/>
  <c r="D854" i="18"/>
  <c r="C854" i="18"/>
  <c r="B854" i="18"/>
  <c r="H853" i="18"/>
  <c r="I853" i="18" s="1"/>
  <c r="G853" i="18"/>
  <c r="F853" i="18"/>
  <c r="E853" i="18"/>
  <c r="D853" i="18"/>
  <c r="C853" i="18"/>
  <c r="B853" i="18"/>
  <c r="H852" i="18"/>
  <c r="I852" i="18" s="1"/>
  <c r="G852" i="18"/>
  <c r="F852" i="18"/>
  <c r="E852" i="18"/>
  <c r="D852" i="18"/>
  <c r="C852" i="18"/>
  <c r="B852" i="18"/>
  <c r="H851" i="18"/>
  <c r="I851" i="18" s="1"/>
  <c r="G851" i="18"/>
  <c r="F851" i="18"/>
  <c r="E851" i="18"/>
  <c r="D851" i="18"/>
  <c r="C851" i="18"/>
  <c r="B851" i="18"/>
  <c r="H850" i="18"/>
  <c r="I850" i="18" s="1"/>
  <c r="G850" i="18"/>
  <c r="F850" i="18"/>
  <c r="E850" i="18"/>
  <c r="D850" i="18"/>
  <c r="C850" i="18"/>
  <c r="B850" i="18"/>
  <c r="H849" i="18"/>
  <c r="I849" i="18" s="1"/>
  <c r="G849" i="18"/>
  <c r="F849" i="18"/>
  <c r="E849" i="18"/>
  <c r="D849" i="18"/>
  <c r="C849" i="18"/>
  <c r="B849" i="18"/>
  <c r="H848" i="18"/>
  <c r="I848" i="18" s="1"/>
  <c r="G848" i="18"/>
  <c r="F848" i="18"/>
  <c r="E848" i="18"/>
  <c r="D848" i="18"/>
  <c r="C848" i="18"/>
  <c r="B848" i="18"/>
  <c r="H847" i="18"/>
  <c r="I847" i="18" s="1"/>
  <c r="G847" i="18"/>
  <c r="F847" i="18"/>
  <c r="E847" i="18"/>
  <c r="D847" i="18"/>
  <c r="C847" i="18"/>
  <c r="B847" i="18"/>
  <c r="H846" i="18"/>
  <c r="I846" i="18" s="1"/>
  <c r="G846" i="18"/>
  <c r="F846" i="18"/>
  <c r="E846" i="18"/>
  <c r="D846" i="18"/>
  <c r="C846" i="18"/>
  <c r="B846" i="18"/>
  <c r="H845" i="18"/>
  <c r="I845" i="18" s="1"/>
  <c r="G845" i="18"/>
  <c r="F845" i="18"/>
  <c r="E845" i="18"/>
  <c r="D845" i="18"/>
  <c r="C845" i="18"/>
  <c r="B845" i="18"/>
  <c r="H844" i="18"/>
  <c r="I844" i="18" s="1"/>
  <c r="G844" i="18"/>
  <c r="F844" i="18"/>
  <c r="E844" i="18"/>
  <c r="D844" i="18"/>
  <c r="C844" i="18"/>
  <c r="B844" i="18"/>
  <c r="H843" i="18"/>
  <c r="I843" i="18" s="1"/>
  <c r="G843" i="18"/>
  <c r="F843" i="18"/>
  <c r="E843" i="18"/>
  <c r="D843" i="18"/>
  <c r="C843" i="18"/>
  <c r="B843" i="18"/>
  <c r="H842" i="18"/>
  <c r="I842" i="18" s="1"/>
  <c r="G842" i="18"/>
  <c r="F842" i="18"/>
  <c r="E842" i="18"/>
  <c r="D842" i="18"/>
  <c r="C842" i="18"/>
  <c r="B842" i="18"/>
  <c r="H841" i="18"/>
  <c r="I841" i="18" s="1"/>
  <c r="G841" i="18"/>
  <c r="F841" i="18"/>
  <c r="E841" i="18"/>
  <c r="D841" i="18"/>
  <c r="C841" i="18"/>
  <c r="B841" i="18"/>
  <c r="H840" i="18"/>
  <c r="I840" i="18" s="1"/>
  <c r="G840" i="18"/>
  <c r="F840" i="18"/>
  <c r="E840" i="18"/>
  <c r="D840" i="18"/>
  <c r="C840" i="18"/>
  <c r="B840" i="18"/>
  <c r="H839" i="18"/>
  <c r="I839" i="18" s="1"/>
  <c r="G839" i="18"/>
  <c r="F839" i="18"/>
  <c r="E839" i="18"/>
  <c r="D839" i="18"/>
  <c r="C839" i="18"/>
  <c r="B839" i="18"/>
  <c r="H838" i="18"/>
  <c r="I838" i="18" s="1"/>
  <c r="G838" i="18"/>
  <c r="F838" i="18"/>
  <c r="E838" i="18"/>
  <c r="D838" i="18"/>
  <c r="C838" i="18"/>
  <c r="B838" i="18"/>
  <c r="H837" i="18"/>
  <c r="I837" i="18" s="1"/>
  <c r="G837" i="18"/>
  <c r="F837" i="18"/>
  <c r="E837" i="18"/>
  <c r="D837" i="18"/>
  <c r="C837" i="18"/>
  <c r="B837" i="18"/>
  <c r="H836" i="18"/>
  <c r="I836" i="18" s="1"/>
  <c r="G836" i="18"/>
  <c r="F836" i="18"/>
  <c r="E836" i="18"/>
  <c r="D836" i="18"/>
  <c r="C836" i="18"/>
  <c r="B836" i="18"/>
  <c r="H835" i="18"/>
  <c r="I835" i="18" s="1"/>
  <c r="G835" i="18"/>
  <c r="F835" i="18"/>
  <c r="E835" i="18"/>
  <c r="D835" i="18"/>
  <c r="C835" i="18"/>
  <c r="B835" i="18"/>
  <c r="H834" i="18"/>
  <c r="I834" i="18" s="1"/>
  <c r="G834" i="18"/>
  <c r="F834" i="18"/>
  <c r="E834" i="18"/>
  <c r="D834" i="18"/>
  <c r="C834" i="18"/>
  <c r="B834" i="18"/>
  <c r="H833" i="18"/>
  <c r="I833" i="18" s="1"/>
  <c r="G833" i="18"/>
  <c r="F833" i="18"/>
  <c r="E833" i="18"/>
  <c r="D833" i="18"/>
  <c r="C833" i="18"/>
  <c r="B833" i="18"/>
  <c r="H832" i="18"/>
  <c r="I832" i="18" s="1"/>
  <c r="G832" i="18"/>
  <c r="F832" i="18"/>
  <c r="E832" i="18"/>
  <c r="D832" i="18"/>
  <c r="C832" i="18"/>
  <c r="B832" i="18"/>
  <c r="H831" i="18"/>
  <c r="I831" i="18" s="1"/>
  <c r="G831" i="18"/>
  <c r="F831" i="18"/>
  <c r="E831" i="18"/>
  <c r="D831" i="18"/>
  <c r="C831" i="18"/>
  <c r="B831" i="18"/>
  <c r="H830" i="18"/>
  <c r="I830" i="18" s="1"/>
  <c r="G830" i="18"/>
  <c r="F830" i="18"/>
  <c r="E830" i="18"/>
  <c r="D830" i="18"/>
  <c r="C830" i="18"/>
  <c r="B830" i="18"/>
  <c r="H829" i="18"/>
  <c r="I829" i="18" s="1"/>
  <c r="G829" i="18"/>
  <c r="F829" i="18"/>
  <c r="E829" i="18"/>
  <c r="D829" i="18"/>
  <c r="C829" i="18"/>
  <c r="B829" i="18"/>
  <c r="H828" i="18"/>
  <c r="I828" i="18" s="1"/>
  <c r="G828" i="18"/>
  <c r="F828" i="18"/>
  <c r="E828" i="18"/>
  <c r="D828" i="18"/>
  <c r="C828" i="18"/>
  <c r="B828" i="18"/>
  <c r="H827" i="18"/>
  <c r="I827" i="18" s="1"/>
  <c r="G827" i="18"/>
  <c r="F827" i="18"/>
  <c r="E827" i="18"/>
  <c r="D827" i="18"/>
  <c r="C827" i="18"/>
  <c r="B827" i="18"/>
  <c r="H826" i="18"/>
  <c r="I826" i="18" s="1"/>
  <c r="G826" i="18"/>
  <c r="F826" i="18"/>
  <c r="E826" i="18"/>
  <c r="D826" i="18"/>
  <c r="C826" i="18"/>
  <c r="B826" i="18"/>
  <c r="H825" i="18"/>
  <c r="I825" i="18" s="1"/>
  <c r="G825" i="18"/>
  <c r="F825" i="18"/>
  <c r="E825" i="18"/>
  <c r="D825" i="18"/>
  <c r="C825" i="18"/>
  <c r="B825" i="18"/>
  <c r="H824" i="18"/>
  <c r="I824" i="18" s="1"/>
  <c r="G824" i="18"/>
  <c r="F824" i="18"/>
  <c r="E824" i="18"/>
  <c r="D824" i="18"/>
  <c r="C824" i="18"/>
  <c r="B824" i="18"/>
  <c r="H823" i="18"/>
  <c r="I823" i="18" s="1"/>
  <c r="G823" i="18"/>
  <c r="F823" i="18"/>
  <c r="E823" i="18"/>
  <c r="D823" i="18"/>
  <c r="C823" i="18"/>
  <c r="B823" i="18"/>
  <c r="H822" i="18"/>
  <c r="I822" i="18" s="1"/>
  <c r="G822" i="18"/>
  <c r="F822" i="18"/>
  <c r="E822" i="18"/>
  <c r="D822" i="18"/>
  <c r="C822" i="18"/>
  <c r="B822" i="18"/>
  <c r="H821" i="18"/>
  <c r="I821" i="18" s="1"/>
  <c r="G821" i="18"/>
  <c r="F821" i="18"/>
  <c r="E821" i="18"/>
  <c r="D821" i="18"/>
  <c r="C821" i="18"/>
  <c r="B821" i="18"/>
  <c r="H820" i="18"/>
  <c r="I820" i="18" s="1"/>
  <c r="G820" i="18"/>
  <c r="F820" i="18"/>
  <c r="E820" i="18"/>
  <c r="D820" i="18"/>
  <c r="C820" i="18"/>
  <c r="B820" i="18"/>
  <c r="H819" i="18"/>
  <c r="I819" i="18" s="1"/>
  <c r="G819" i="18"/>
  <c r="F819" i="18"/>
  <c r="E819" i="18"/>
  <c r="D819" i="18"/>
  <c r="C819" i="18"/>
  <c r="B819" i="18"/>
  <c r="H818" i="18"/>
  <c r="I818" i="18" s="1"/>
  <c r="G818" i="18"/>
  <c r="F818" i="18"/>
  <c r="E818" i="18"/>
  <c r="D818" i="18"/>
  <c r="C818" i="18"/>
  <c r="B818" i="18"/>
  <c r="H817" i="18"/>
  <c r="I817" i="18" s="1"/>
  <c r="G817" i="18"/>
  <c r="F817" i="18"/>
  <c r="E817" i="18"/>
  <c r="D817" i="18"/>
  <c r="C817" i="18"/>
  <c r="B817" i="18"/>
  <c r="I816" i="18"/>
  <c r="H816" i="18"/>
  <c r="G816" i="18"/>
  <c r="F816" i="18"/>
  <c r="E816" i="18"/>
  <c r="D816" i="18"/>
  <c r="C816" i="18"/>
  <c r="B816" i="18"/>
  <c r="H815" i="18"/>
  <c r="I815" i="18" s="1"/>
  <c r="G815" i="18"/>
  <c r="F815" i="18"/>
  <c r="E815" i="18"/>
  <c r="D815" i="18"/>
  <c r="C815" i="18"/>
  <c r="B815" i="18"/>
  <c r="H814" i="18"/>
  <c r="I814" i="18" s="1"/>
  <c r="G814" i="18"/>
  <c r="F814" i="18"/>
  <c r="E814" i="18"/>
  <c r="D814" i="18"/>
  <c r="C814" i="18"/>
  <c r="B814" i="18"/>
  <c r="H813" i="18"/>
  <c r="I813" i="18" s="1"/>
  <c r="G813" i="18"/>
  <c r="F813" i="18"/>
  <c r="E813" i="18"/>
  <c r="D813" i="18"/>
  <c r="C813" i="18"/>
  <c r="B813" i="18"/>
  <c r="H812" i="18"/>
  <c r="I812" i="18" s="1"/>
  <c r="G812" i="18"/>
  <c r="F812" i="18"/>
  <c r="E812" i="18"/>
  <c r="D812" i="18"/>
  <c r="C812" i="18"/>
  <c r="B812" i="18"/>
  <c r="H811" i="18"/>
  <c r="I811" i="18" s="1"/>
  <c r="G811" i="18"/>
  <c r="F811" i="18"/>
  <c r="E811" i="18"/>
  <c r="D811" i="18"/>
  <c r="C811" i="18"/>
  <c r="B811" i="18"/>
  <c r="H810" i="18"/>
  <c r="I810" i="18" s="1"/>
  <c r="G810" i="18"/>
  <c r="F810" i="18"/>
  <c r="E810" i="18"/>
  <c r="D810" i="18"/>
  <c r="C810" i="18"/>
  <c r="B810" i="18"/>
  <c r="H809" i="18"/>
  <c r="I809" i="18" s="1"/>
  <c r="G809" i="18"/>
  <c r="F809" i="18"/>
  <c r="E809" i="18"/>
  <c r="D809" i="18"/>
  <c r="C809" i="18"/>
  <c r="B809" i="18"/>
  <c r="H808" i="18"/>
  <c r="I808" i="18" s="1"/>
  <c r="G808" i="18"/>
  <c r="F808" i="18"/>
  <c r="E808" i="18"/>
  <c r="D808" i="18"/>
  <c r="C808" i="18"/>
  <c r="B808" i="18"/>
  <c r="H807" i="18"/>
  <c r="I807" i="18" s="1"/>
  <c r="G807" i="18"/>
  <c r="F807" i="18"/>
  <c r="E807" i="18"/>
  <c r="D807" i="18"/>
  <c r="C807" i="18"/>
  <c r="B807" i="18"/>
  <c r="H806" i="18"/>
  <c r="I806" i="18" s="1"/>
  <c r="G806" i="18"/>
  <c r="F806" i="18"/>
  <c r="E806" i="18"/>
  <c r="D806" i="18"/>
  <c r="C806" i="18"/>
  <c r="B806" i="18"/>
  <c r="H805" i="18"/>
  <c r="I805" i="18" s="1"/>
  <c r="G805" i="18"/>
  <c r="F805" i="18"/>
  <c r="E805" i="18"/>
  <c r="D805" i="18"/>
  <c r="C805" i="18"/>
  <c r="B805" i="18"/>
  <c r="H804" i="18"/>
  <c r="I804" i="18" s="1"/>
  <c r="G804" i="18"/>
  <c r="F804" i="18"/>
  <c r="E804" i="18"/>
  <c r="D804" i="18"/>
  <c r="C804" i="18"/>
  <c r="B804" i="18"/>
  <c r="H803" i="18"/>
  <c r="I803" i="18" s="1"/>
  <c r="G803" i="18"/>
  <c r="F803" i="18"/>
  <c r="E803" i="18"/>
  <c r="D803" i="18"/>
  <c r="C803" i="18"/>
  <c r="B803" i="18"/>
  <c r="H802" i="18"/>
  <c r="I802" i="18" s="1"/>
  <c r="G802" i="18"/>
  <c r="F802" i="18"/>
  <c r="E802" i="18"/>
  <c r="D802" i="18"/>
  <c r="C802" i="18"/>
  <c r="B802" i="18"/>
  <c r="H801" i="18"/>
  <c r="I801" i="18" s="1"/>
  <c r="G801" i="18"/>
  <c r="F801" i="18"/>
  <c r="E801" i="18"/>
  <c r="D801" i="18"/>
  <c r="C801" i="18"/>
  <c r="B801" i="18"/>
  <c r="H800" i="18"/>
  <c r="I800" i="18" s="1"/>
  <c r="G800" i="18"/>
  <c r="F800" i="18"/>
  <c r="E800" i="18"/>
  <c r="D800" i="18"/>
  <c r="C800" i="18"/>
  <c r="B800" i="18"/>
  <c r="H799" i="18"/>
  <c r="I799" i="18" s="1"/>
  <c r="G799" i="18"/>
  <c r="F799" i="18"/>
  <c r="E799" i="18"/>
  <c r="D799" i="18"/>
  <c r="C799" i="18"/>
  <c r="B799" i="18"/>
  <c r="H798" i="18"/>
  <c r="I798" i="18" s="1"/>
  <c r="G798" i="18"/>
  <c r="F798" i="18"/>
  <c r="E798" i="18"/>
  <c r="D798" i="18"/>
  <c r="C798" i="18"/>
  <c r="B798" i="18"/>
  <c r="H797" i="18"/>
  <c r="I797" i="18" s="1"/>
  <c r="G797" i="18"/>
  <c r="F797" i="18"/>
  <c r="E797" i="18"/>
  <c r="D797" i="18"/>
  <c r="C797" i="18"/>
  <c r="B797" i="18"/>
  <c r="H796" i="18"/>
  <c r="I796" i="18" s="1"/>
  <c r="G796" i="18"/>
  <c r="F796" i="18"/>
  <c r="E796" i="18"/>
  <c r="D796" i="18"/>
  <c r="C796" i="18"/>
  <c r="B796" i="18"/>
  <c r="H795" i="18"/>
  <c r="I795" i="18" s="1"/>
  <c r="G795" i="18"/>
  <c r="F795" i="18"/>
  <c r="E795" i="18"/>
  <c r="D795" i="18"/>
  <c r="C795" i="18"/>
  <c r="B795" i="18"/>
  <c r="H794" i="18"/>
  <c r="I794" i="18" s="1"/>
  <c r="G794" i="18"/>
  <c r="F794" i="18"/>
  <c r="E794" i="18"/>
  <c r="D794" i="18"/>
  <c r="C794" i="18"/>
  <c r="B794" i="18"/>
  <c r="H793" i="18"/>
  <c r="I793" i="18" s="1"/>
  <c r="G793" i="18"/>
  <c r="F793" i="18"/>
  <c r="E793" i="18"/>
  <c r="D793" i="18"/>
  <c r="C793" i="18"/>
  <c r="B793" i="18"/>
  <c r="H792" i="18"/>
  <c r="I792" i="18" s="1"/>
  <c r="G792" i="18"/>
  <c r="F792" i="18"/>
  <c r="E792" i="18"/>
  <c r="D792" i="18"/>
  <c r="C792" i="18"/>
  <c r="B792" i="18"/>
  <c r="H791" i="18"/>
  <c r="I791" i="18" s="1"/>
  <c r="G791" i="18"/>
  <c r="F791" i="18"/>
  <c r="E791" i="18"/>
  <c r="D791" i="18"/>
  <c r="C791" i="18"/>
  <c r="B791" i="18"/>
  <c r="H790" i="18"/>
  <c r="I790" i="18" s="1"/>
  <c r="G790" i="18"/>
  <c r="F790" i="18"/>
  <c r="E790" i="18"/>
  <c r="D790" i="18"/>
  <c r="C790" i="18"/>
  <c r="B790" i="18"/>
  <c r="H789" i="18"/>
  <c r="I789" i="18" s="1"/>
  <c r="G789" i="18"/>
  <c r="F789" i="18"/>
  <c r="E789" i="18"/>
  <c r="D789" i="18"/>
  <c r="C789" i="18"/>
  <c r="B789" i="18"/>
  <c r="H788" i="18"/>
  <c r="I788" i="18" s="1"/>
  <c r="G788" i="18"/>
  <c r="F788" i="18"/>
  <c r="E788" i="18"/>
  <c r="D788" i="18"/>
  <c r="C788" i="18"/>
  <c r="B788" i="18"/>
  <c r="H787" i="18"/>
  <c r="I787" i="18" s="1"/>
  <c r="G787" i="18"/>
  <c r="F787" i="18"/>
  <c r="E787" i="18"/>
  <c r="D787" i="18"/>
  <c r="C787" i="18"/>
  <c r="B787" i="18"/>
  <c r="H786" i="18"/>
  <c r="I786" i="18" s="1"/>
  <c r="G786" i="18"/>
  <c r="F786" i="18"/>
  <c r="E786" i="18"/>
  <c r="D786" i="18"/>
  <c r="C786" i="18"/>
  <c r="B786" i="18"/>
  <c r="H785" i="18"/>
  <c r="I785" i="18" s="1"/>
  <c r="G785" i="18"/>
  <c r="F785" i="18"/>
  <c r="E785" i="18"/>
  <c r="D785" i="18"/>
  <c r="C785" i="18"/>
  <c r="B785" i="18"/>
  <c r="H784" i="18"/>
  <c r="I784" i="18" s="1"/>
  <c r="G784" i="18"/>
  <c r="F784" i="18"/>
  <c r="E784" i="18"/>
  <c r="D784" i="18"/>
  <c r="C784" i="18"/>
  <c r="B784" i="18"/>
  <c r="H783" i="18"/>
  <c r="I783" i="18" s="1"/>
  <c r="G783" i="18"/>
  <c r="F783" i="18"/>
  <c r="E783" i="18"/>
  <c r="D783" i="18"/>
  <c r="C783" i="18"/>
  <c r="B783" i="18"/>
  <c r="H782" i="18"/>
  <c r="I782" i="18" s="1"/>
  <c r="G782" i="18"/>
  <c r="F782" i="18"/>
  <c r="E782" i="18"/>
  <c r="D782" i="18"/>
  <c r="C782" i="18"/>
  <c r="B782" i="18"/>
  <c r="H781" i="18"/>
  <c r="I781" i="18" s="1"/>
  <c r="G781" i="18"/>
  <c r="F781" i="18"/>
  <c r="E781" i="18"/>
  <c r="D781" i="18"/>
  <c r="C781" i="18"/>
  <c r="B781" i="18"/>
  <c r="H780" i="18"/>
  <c r="I780" i="18" s="1"/>
  <c r="G780" i="18"/>
  <c r="F780" i="18"/>
  <c r="E780" i="18"/>
  <c r="D780" i="18"/>
  <c r="C780" i="18"/>
  <c r="B780" i="18"/>
  <c r="H779" i="18"/>
  <c r="I779" i="18" s="1"/>
  <c r="G779" i="18"/>
  <c r="F779" i="18"/>
  <c r="E779" i="18"/>
  <c r="D779" i="18"/>
  <c r="C779" i="18"/>
  <c r="B779" i="18"/>
  <c r="H778" i="18"/>
  <c r="I778" i="18" s="1"/>
  <c r="G778" i="18"/>
  <c r="F778" i="18"/>
  <c r="E778" i="18"/>
  <c r="D778" i="18"/>
  <c r="C778" i="18"/>
  <c r="B778" i="18"/>
  <c r="H777" i="18"/>
  <c r="I777" i="18" s="1"/>
  <c r="G777" i="18"/>
  <c r="F777" i="18"/>
  <c r="E777" i="18"/>
  <c r="D777" i="18"/>
  <c r="C777" i="18"/>
  <c r="B777" i="18"/>
  <c r="H776" i="18"/>
  <c r="I776" i="18" s="1"/>
  <c r="G776" i="18"/>
  <c r="F776" i="18"/>
  <c r="E776" i="18"/>
  <c r="D776" i="18"/>
  <c r="C776" i="18"/>
  <c r="B776" i="18"/>
  <c r="H775" i="18"/>
  <c r="I775" i="18" s="1"/>
  <c r="G775" i="18"/>
  <c r="F775" i="18"/>
  <c r="E775" i="18"/>
  <c r="D775" i="18"/>
  <c r="C775" i="18"/>
  <c r="B775" i="18"/>
  <c r="H774" i="18"/>
  <c r="I774" i="18" s="1"/>
  <c r="G774" i="18"/>
  <c r="F774" i="18"/>
  <c r="E774" i="18"/>
  <c r="D774" i="18"/>
  <c r="C774" i="18"/>
  <c r="B774" i="18"/>
  <c r="H773" i="18"/>
  <c r="I773" i="18" s="1"/>
  <c r="G773" i="18"/>
  <c r="F773" i="18"/>
  <c r="E773" i="18"/>
  <c r="D773" i="18"/>
  <c r="C773" i="18"/>
  <c r="B773" i="18"/>
  <c r="H772" i="18"/>
  <c r="I772" i="18" s="1"/>
  <c r="G772" i="18"/>
  <c r="F772" i="18"/>
  <c r="E772" i="18"/>
  <c r="D772" i="18"/>
  <c r="C772" i="18"/>
  <c r="B772" i="18"/>
  <c r="H771" i="18"/>
  <c r="I771" i="18" s="1"/>
  <c r="G771" i="18"/>
  <c r="F771" i="18"/>
  <c r="E771" i="18"/>
  <c r="D771" i="18"/>
  <c r="C771" i="18"/>
  <c r="B771" i="18"/>
  <c r="H770" i="18"/>
  <c r="I770" i="18" s="1"/>
  <c r="G770" i="18"/>
  <c r="F770" i="18"/>
  <c r="E770" i="18"/>
  <c r="D770" i="18"/>
  <c r="C770" i="18"/>
  <c r="B770" i="18"/>
  <c r="H769" i="18"/>
  <c r="I769" i="18" s="1"/>
  <c r="G769" i="18"/>
  <c r="F769" i="18"/>
  <c r="E769" i="18"/>
  <c r="D769" i="18"/>
  <c r="C769" i="18"/>
  <c r="B769" i="18"/>
  <c r="H768" i="18"/>
  <c r="I768" i="18" s="1"/>
  <c r="G768" i="18"/>
  <c r="F768" i="18"/>
  <c r="E768" i="18"/>
  <c r="D768" i="18"/>
  <c r="C768" i="18"/>
  <c r="B768" i="18"/>
  <c r="H767" i="18"/>
  <c r="I767" i="18" s="1"/>
  <c r="G767" i="18"/>
  <c r="F767" i="18"/>
  <c r="E767" i="18"/>
  <c r="D767" i="18"/>
  <c r="C767" i="18"/>
  <c r="B767" i="18"/>
  <c r="H766" i="18"/>
  <c r="I766" i="18" s="1"/>
  <c r="G766" i="18"/>
  <c r="F766" i="18"/>
  <c r="E766" i="18"/>
  <c r="D766" i="18"/>
  <c r="C766" i="18"/>
  <c r="B766" i="18"/>
  <c r="H765" i="18"/>
  <c r="I765" i="18" s="1"/>
  <c r="G765" i="18"/>
  <c r="F765" i="18"/>
  <c r="E765" i="18"/>
  <c r="D765" i="18"/>
  <c r="C765" i="18"/>
  <c r="B765" i="18"/>
  <c r="H764" i="18"/>
  <c r="I764" i="18" s="1"/>
  <c r="G764" i="18"/>
  <c r="F764" i="18"/>
  <c r="E764" i="18"/>
  <c r="D764" i="18"/>
  <c r="C764" i="18"/>
  <c r="B764" i="18"/>
  <c r="H763" i="18"/>
  <c r="I763" i="18" s="1"/>
  <c r="G763" i="18"/>
  <c r="F763" i="18"/>
  <c r="E763" i="18"/>
  <c r="D763" i="18"/>
  <c r="C763" i="18"/>
  <c r="B763" i="18"/>
  <c r="H762" i="18"/>
  <c r="I762" i="18" s="1"/>
  <c r="G762" i="18"/>
  <c r="F762" i="18"/>
  <c r="E762" i="18"/>
  <c r="D762" i="18"/>
  <c r="C762" i="18"/>
  <c r="B762" i="18"/>
  <c r="H761" i="18"/>
  <c r="I761" i="18" s="1"/>
  <c r="G761" i="18"/>
  <c r="F761" i="18"/>
  <c r="E761" i="18"/>
  <c r="D761" i="18"/>
  <c r="C761" i="18"/>
  <c r="B761" i="18"/>
  <c r="H760" i="18"/>
  <c r="I760" i="18" s="1"/>
  <c r="G760" i="18"/>
  <c r="F760" i="18"/>
  <c r="E760" i="18"/>
  <c r="D760" i="18"/>
  <c r="C760" i="18"/>
  <c r="B760" i="18"/>
  <c r="H759" i="18"/>
  <c r="I759" i="18" s="1"/>
  <c r="G759" i="18"/>
  <c r="F759" i="18"/>
  <c r="E759" i="18"/>
  <c r="D759" i="18"/>
  <c r="C759" i="18"/>
  <c r="B759" i="18"/>
  <c r="H758" i="18"/>
  <c r="I758" i="18" s="1"/>
  <c r="G758" i="18"/>
  <c r="F758" i="18"/>
  <c r="E758" i="18"/>
  <c r="D758" i="18"/>
  <c r="C758" i="18"/>
  <c r="B758" i="18"/>
  <c r="H757" i="18"/>
  <c r="I757" i="18" s="1"/>
  <c r="G757" i="18"/>
  <c r="F757" i="18"/>
  <c r="E757" i="18"/>
  <c r="D757" i="18"/>
  <c r="C757" i="18"/>
  <c r="B757" i="18"/>
  <c r="H756" i="18"/>
  <c r="I756" i="18" s="1"/>
  <c r="G756" i="18"/>
  <c r="F756" i="18"/>
  <c r="E756" i="18"/>
  <c r="D756" i="18"/>
  <c r="C756" i="18"/>
  <c r="B756" i="18"/>
  <c r="H755" i="18"/>
  <c r="I755" i="18" s="1"/>
  <c r="G755" i="18"/>
  <c r="F755" i="18"/>
  <c r="E755" i="18"/>
  <c r="D755" i="18"/>
  <c r="C755" i="18"/>
  <c r="B755" i="18"/>
  <c r="H754" i="18"/>
  <c r="I754" i="18" s="1"/>
  <c r="G754" i="18"/>
  <c r="F754" i="18"/>
  <c r="E754" i="18"/>
  <c r="D754" i="18"/>
  <c r="C754" i="18"/>
  <c r="B754" i="18"/>
  <c r="H753" i="18"/>
  <c r="I753" i="18" s="1"/>
  <c r="G753" i="18"/>
  <c r="F753" i="18"/>
  <c r="E753" i="18"/>
  <c r="D753" i="18"/>
  <c r="C753" i="18"/>
  <c r="B753" i="18"/>
  <c r="H752" i="18"/>
  <c r="I752" i="18" s="1"/>
  <c r="G752" i="18"/>
  <c r="F752" i="18"/>
  <c r="E752" i="18"/>
  <c r="D752" i="18"/>
  <c r="C752" i="18"/>
  <c r="B752" i="18"/>
  <c r="H751" i="18"/>
  <c r="I751" i="18" s="1"/>
  <c r="G751" i="18"/>
  <c r="F751" i="18"/>
  <c r="E751" i="18"/>
  <c r="D751" i="18"/>
  <c r="C751" i="18"/>
  <c r="B751" i="18"/>
  <c r="H750" i="18"/>
  <c r="I750" i="18" s="1"/>
  <c r="G750" i="18"/>
  <c r="F750" i="18"/>
  <c r="E750" i="18"/>
  <c r="D750" i="18"/>
  <c r="C750" i="18"/>
  <c r="B750" i="18"/>
  <c r="H749" i="18"/>
  <c r="I749" i="18" s="1"/>
  <c r="G749" i="18"/>
  <c r="F749" i="18"/>
  <c r="E749" i="18"/>
  <c r="D749" i="18"/>
  <c r="C749" i="18"/>
  <c r="B749" i="18"/>
  <c r="H748" i="18"/>
  <c r="I748" i="18" s="1"/>
  <c r="G748" i="18"/>
  <c r="F748" i="18"/>
  <c r="E748" i="18"/>
  <c r="D748" i="18"/>
  <c r="C748" i="18"/>
  <c r="B748" i="18"/>
  <c r="H747" i="18"/>
  <c r="I747" i="18" s="1"/>
  <c r="G747" i="18"/>
  <c r="F747" i="18"/>
  <c r="E747" i="18"/>
  <c r="D747" i="18"/>
  <c r="C747" i="18"/>
  <c r="B747" i="18"/>
  <c r="H746" i="18"/>
  <c r="I746" i="18" s="1"/>
  <c r="G746" i="18"/>
  <c r="F746" i="18"/>
  <c r="E746" i="18"/>
  <c r="D746" i="18"/>
  <c r="C746" i="18"/>
  <c r="B746" i="18"/>
  <c r="H745" i="18"/>
  <c r="I745" i="18" s="1"/>
  <c r="G745" i="18"/>
  <c r="F745" i="18"/>
  <c r="E745" i="18"/>
  <c r="D745" i="18"/>
  <c r="C745" i="18"/>
  <c r="B745" i="18"/>
  <c r="H744" i="18"/>
  <c r="I744" i="18" s="1"/>
  <c r="G744" i="18"/>
  <c r="F744" i="18"/>
  <c r="E744" i="18"/>
  <c r="D744" i="18"/>
  <c r="C744" i="18"/>
  <c r="B744" i="18"/>
  <c r="H743" i="18"/>
  <c r="I743" i="18" s="1"/>
  <c r="G743" i="18"/>
  <c r="F743" i="18"/>
  <c r="E743" i="18"/>
  <c r="D743" i="18"/>
  <c r="C743" i="18"/>
  <c r="B743" i="18"/>
  <c r="H742" i="18"/>
  <c r="I742" i="18" s="1"/>
  <c r="G742" i="18"/>
  <c r="F742" i="18"/>
  <c r="E742" i="18"/>
  <c r="D742" i="18"/>
  <c r="C742" i="18"/>
  <c r="B742" i="18"/>
  <c r="H741" i="18"/>
  <c r="I741" i="18" s="1"/>
  <c r="G741" i="18"/>
  <c r="F741" i="18"/>
  <c r="E741" i="18"/>
  <c r="D741" i="18"/>
  <c r="C741" i="18"/>
  <c r="B741" i="18"/>
  <c r="H740" i="18"/>
  <c r="I740" i="18" s="1"/>
  <c r="G740" i="18"/>
  <c r="F740" i="18"/>
  <c r="E740" i="18"/>
  <c r="D740" i="18"/>
  <c r="C740" i="18"/>
  <c r="B740" i="18"/>
  <c r="H739" i="18"/>
  <c r="I739" i="18" s="1"/>
  <c r="G739" i="18"/>
  <c r="F739" i="18"/>
  <c r="E739" i="18"/>
  <c r="D739" i="18"/>
  <c r="C739" i="18"/>
  <c r="B739" i="18"/>
  <c r="H738" i="18"/>
  <c r="I738" i="18" s="1"/>
  <c r="G738" i="18"/>
  <c r="F738" i="18"/>
  <c r="E738" i="18"/>
  <c r="D738" i="18"/>
  <c r="C738" i="18"/>
  <c r="B738" i="18"/>
  <c r="H737" i="18"/>
  <c r="I737" i="18" s="1"/>
  <c r="G737" i="18"/>
  <c r="F737" i="18"/>
  <c r="E737" i="18"/>
  <c r="D737" i="18"/>
  <c r="C737" i="18"/>
  <c r="B737" i="18"/>
  <c r="H736" i="18"/>
  <c r="I736" i="18" s="1"/>
  <c r="G736" i="18"/>
  <c r="F736" i="18"/>
  <c r="E736" i="18"/>
  <c r="D736" i="18"/>
  <c r="C736" i="18"/>
  <c r="B736" i="18"/>
  <c r="H735" i="18"/>
  <c r="I735" i="18" s="1"/>
  <c r="G735" i="18"/>
  <c r="F735" i="18"/>
  <c r="E735" i="18"/>
  <c r="D735" i="18"/>
  <c r="C735" i="18"/>
  <c r="B735" i="18"/>
  <c r="H734" i="18"/>
  <c r="I734" i="18" s="1"/>
  <c r="G734" i="18"/>
  <c r="F734" i="18"/>
  <c r="E734" i="18"/>
  <c r="D734" i="18"/>
  <c r="C734" i="18"/>
  <c r="B734" i="18"/>
  <c r="H733" i="18"/>
  <c r="I733" i="18" s="1"/>
  <c r="G733" i="18"/>
  <c r="F733" i="18"/>
  <c r="E733" i="18"/>
  <c r="D733" i="18"/>
  <c r="C733" i="18"/>
  <c r="B733" i="18"/>
  <c r="H732" i="18"/>
  <c r="I732" i="18" s="1"/>
  <c r="G732" i="18"/>
  <c r="F732" i="18"/>
  <c r="E732" i="18"/>
  <c r="D732" i="18"/>
  <c r="C732" i="18"/>
  <c r="B732" i="18"/>
  <c r="H731" i="18"/>
  <c r="I731" i="18" s="1"/>
  <c r="G731" i="18"/>
  <c r="F731" i="18"/>
  <c r="E731" i="18"/>
  <c r="D731" i="18"/>
  <c r="C731" i="18"/>
  <c r="B731" i="18"/>
  <c r="H730" i="18"/>
  <c r="I730" i="18" s="1"/>
  <c r="G730" i="18"/>
  <c r="F730" i="18"/>
  <c r="E730" i="18"/>
  <c r="D730" i="18"/>
  <c r="C730" i="18"/>
  <c r="B730" i="18"/>
  <c r="H729" i="18"/>
  <c r="I729" i="18" s="1"/>
  <c r="G729" i="18"/>
  <c r="F729" i="18"/>
  <c r="E729" i="18"/>
  <c r="D729" i="18"/>
  <c r="C729" i="18"/>
  <c r="B729" i="18"/>
  <c r="H728" i="18"/>
  <c r="I728" i="18" s="1"/>
  <c r="G728" i="18"/>
  <c r="F728" i="18"/>
  <c r="E728" i="18"/>
  <c r="D728" i="18"/>
  <c r="C728" i="18"/>
  <c r="B728" i="18"/>
  <c r="H727" i="18"/>
  <c r="I727" i="18" s="1"/>
  <c r="G727" i="18"/>
  <c r="F727" i="18"/>
  <c r="E727" i="18"/>
  <c r="D727" i="18"/>
  <c r="C727" i="18"/>
  <c r="B727" i="18"/>
  <c r="H726" i="18"/>
  <c r="I726" i="18" s="1"/>
  <c r="G726" i="18"/>
  <c r="F726" i="18"/>
  <c r="E726" i="18"/>
  <c r="D726" i="18"/>
  <c r="C726" i="18"/>
  <c r="B726" i="18"/>
  <c r="H725" i="18"/>
  <c r="I725" i="18" s="1"/>
  <c r="G725" i="18"/>
  <c r="F725" i="18"/>
  <c r="E725" i="18"/>
  <c r="D725" i="18"/>
  <c r="C725" i="18"/>
  <c r="B725" i="18"/>
  <c r="H724" i="18"/>
  <c r="I724" i="18" s="1"/>
  <c r="G724" i="18"/>
  <c r="F724" i="18"/>
  <c r="E724" i="18"/>
  <c r="D724" i="18"/>
  <c r="C724" i="18"/>
  <c r="B724" i="18"/>
  <c r="H723" i="18"/>
  <c r="I723" i="18" s="1"/>
  <c r="G723" i="18"/>
  <c r="F723" i="18"/>
  <c r="E723" i="18"/>
  <c r="D723" i="18"/>
  <c r="C723" i="18"/>
  <c r="B723" i="18"/>
  <c r="H722" i="18"/>
  <c r="I722" i="18" s="1"/>
  <c r="G722" i="18"/>
  <c r="F722" i="18"/>
  <c r="E722" i="18"/>
  <c r="D722" i="18"/>
  <c r="C722" i="18"/>
  <c r="B722" i="18"/>
  <c r="H721" i="18"/>
  <c r="I721" i="18" s="1"/>
  <c r="G721" i="18"/>
  <c r="F721" i="18"/>
  <c r="E721" i="18"/>
  <c r="D721" i="18"/>
  <c r="C721" i="18"/>
  <c r="B721" i="18"/>
  <c r="H720" i="18"/>
  <c r="I720" i="18" s="1"/>
  <c r="G720" i="18"/>
  <c r="F720" i="18"/>
  <c r="E720" i="18"/>
  <c r="D720" i="18"/>
  <c r="C720" i="18"/>
  <c r="B720" i="18"/>
  <c r="H719" i="18"/>
  <c r="I719" i="18" s="1"/>
  <c r="G719" i="18"/>
  <c r="F719" i="18"/>
  <c r="E719" i="18"/>
  <c r="D719" i="18"/>
  <c r="C719" i="18"/>
  <c r="B719" i="18"/>
  <c r="H718" i="18"/>
  <c r="I718" i="18" s="1"/>
  <c r="G718" i="18"/>
  <c r="F718" i="18"/>
  <c r="E718" i="18"/>
  <c r="D718" i="18"/>
  <c r="C718" i="18"/>
  <c r="B718" i="18"/>
  <c r="H717" i="18"/>
  <c r="I717" i="18" s="1"/>
  <c r="G717" i="18"/>
  <c r="F717" i="18"/>
  <c r="E717" i="18"/>
  <c r="D717" i="18"/>
  <c r="C717" i="18"/>
  <c r="B717" i="18"/>
  <c r="H716" i="18"/>
  <c r="I716" i="18" s="1"/>
  <c r="G716" i="18"/>
  <c r="F716" i="18"/>
  <c r="E716" i="18"/>
  <c r="D716" i="18"/>
  <c r="C716" i="18"/>
  <c r="B716" i="18"/>
  <c r="H715" i="18"/>
  <c r="I715" i="18" s="1"/>
  <c r="G715" i="18"/>
  <c r="F715" i="18"/>
  <c r="E715" i="18"/>
  <c r="D715" i="18"/>
  <c r="C715" i="18"/>
  <c r="B715" i="18"/>
  <c r="H714" i="18"/>
  <c r="I714" i="18" s="1"/>
  <c r="G714" i="18"/>
  <c r="F714" i="18"/>
  <c r="E714" i="18"/>
  <c r="D714" i="18"/>
  <c r="C714" i="18"/>
  <c r="B714" i="18"/>
  <c r="H713" i="18"/>
  <c r="I713" i="18" s="1"/>
  <c r="G713" i="18"/>
  <c r="F713" i="18"/>
  <c r="E713" i="18"/>
  <c r="D713" i="18"/>
  <c r="C713" i="18"/>
  <c r="B713" i="18"/>
  <c r="H712" i="18"/>
  <c r="I712" i="18" s="1"/>
  <c r="G712" i="18"/>
  <c r="F712" i="18"/>
  <c r="E712" i="18"/>
  <c r="D712" i="18"/>
  <c r="C712" i="18"/>
  <c r="B712" i="18"/>
  <c r="H711" i="18"/>
  <c r="I711" i="18" s="1"/>
  <c r="G711" i="18"/>
  <c r="F711" i="18"/>
  <c r="E711" i="18"/>
  <c r="D711" i="18"/>
  <c r="C711" i="18"/>
  <c r="B711" i="18"/>
  <c r="H710" i="18"/>
  <c r="I710" i="18" s="1"/>
  <c r="G710" i="18"/>
  <c r="F710" i="18"/>
  <c r="E710" i="18"/>
  <c r="D710" i="18"/>
  <c r="C710" i="18"/>
  <c r="B710" i="18"/>
  <c r="H709" i="18"/>
  <c r="I709" i="18" s="1"/>
  <c r="G709" i="18"/>
  <c r="F709" i="18"/>
  <c r="E709" i="18"/>
  <c r="D709" i="18"/>
  <c r="C709" i="18"/>
  <c r="B709" i="18"/>
  <c r="H708" i="18"/>
  <c r="I708" i="18" s="1"/>
  <c r="G708" i="18"/>
  <c r="F708" i="18"/>
  <c r="E708" i="18"/>
  <c r="D708" i="18"/>
  <c r="C708" i="18"/>
  <c r="B708" i="18"/>
  <c r="H707" i="18"/>
  <c r="I707" i="18" s="1"/>
  <c r="G707" i="18"/>
  <c r="F707" i="18"/>
  <c r="E707" i="18"/>
  <c r="D707" i="18"/>
  <c r="C707" i="18"/>
  <c r="B707" i="18"/>
  <c r="H706" i="18"/>
  <c r="I706" i="18" s="1"/>
  <c r="G706" i="18"/>
  <c r="F706" i="18"/>
  <c r="E706" i="18"/>
  <c r="D706" i="18"/>
  <c r="C706" i="18"/>
  <c r="B706" i="18"/>
  <c r="H705" i="18"/>
  <c r="I705" i="18" s="1"/>
  <c r="G705" i="18"/>
  <c r="F705" i="18"/>
  <c r="E705" i="18"/>
  <c r="D705" i="18"/>
  <c r="C705" i="18"/>
  <c r="B705" i="18"/>
  <c r="H704" i="18"/>
  <c r="I704" i="18" s="1"/>
  <c r="G704" i="18"/>
  <c r="F704" i="18"/>
  <c r="E704" i="18"/>
  <c r="D704" i="18"/>
  <c r="C704" i="18"/>
  <c r="B704" i="18"/>
  <c r="H703" i="18"/>
  <c r="I703" i="18" s="1"/>
  <c r="G703" i="18"/>
  <c r="F703" i="18"/>
  <c r="E703" i="18"/>
  <c r="D703" i="18"/>
  <c r="C703" i="18"/>
  <c r="B703" i="18"/>
  <c r="H702" i="18"/>
  <c r="I702" i="18" s="1"/>
  <c r="G702" i="18"/>
  <c r="F702" i="18"/>
  <c r="E702" i="18"/>
  <c r="D702" i="18"/>
  <c r="C702" i="18"/>
  <c r="B702" i="18"/>
  <c r="H701" i="18"/>
  <c r="I701" i="18" s="1"/>
  <c r="G701" i="18"/>
  <c r="F701" i="18"/>
  <c r="E701" i="18"/>
  <c r="D701" i="18"/>
  <c r="C701" i="18"/>
  <c r="B701" i="18"/>
  <c r="H700" i="18"/>
  <c r="I700" i="18" s="1"/>
  <c r="G700" i="18"/>
  <c r="F700" i="18"/>
  <c r="E700" i="18"/>
  <c r="D700" i="18"/>
  <c r="C700" i="18"/>
  <c r="B700" i="18"/>
  <c r="H699" i="18"/>
  <c r="I699" i="18" s="1"/>
  <c r="G699" i="18"/>
  <c r="F699" i="18"/>
  <c r="E699" i="18"/>
  <c r="D699" i="18"/>
  <c r="C699" i="18"/>
  <c r="B699" i="18"/>
  <c r="H698" i="18"/>
  <c r="I698" i="18" s="1"/>
  <c r="G698" i="18"/>
  <c r="F698" i="18"/>
  <c r="E698" i="18"/>
  <c r="D698" i="18"/>
  <c r="C698" i="18"/>
  <c r="B698" i="18"/>
  <c r="H697" i="18"/>
  <c r="I697" i="18" s="1"/>
  <c r="G697" i="18"/>
  <c r="F697" i="18"/>
  <c r="E697" i="18"/>
  <c r="D697" i="18"/>
  <c r="C697" i="18"/>
  <c r="B697" i="18"/>
  <c r="H696" i="18"/>
  <c r="I696" i="18" s="1"/>
  <c r="G696" i="18"/>
  <c r="F696" i="18"/>
  <c r="E696" i="18"/>
  <c r="D696" i="18"/>
  <c r="C696" i="18"/>
  <c r="B696" i="18"/>
  <c r="H695" i="18"/>
  <c r="I695" i="18" s="1"/>
  <c r="G695" i="18"/>
  <c r="F695" i="18"/>
  <c r="E695" i="18"/>
  <c r="D695" i="18"/>
  <c r="C695" i="18"/>
  <c r="B695" i="18"/>
  <c r="H694" i="18"/>
  <c r="I694" i="18" s="1"/>
  <c r="G694" i="18"/>
  <c r="F694" i="18"/>
  <c r="E694" i="18"/>
  <c r="D694" i="18"/>
  <c r="C694" i="18"/>
  <c r="B694" i="18"/>
  <c r="H693" i="18"/>
  <c r="I693" i="18" s="1"/>
  <c r="G693" i="18"/>
  <c r="F693" i="18"/>
  <c r="E693" i="18"/>
  <c r="D693" i="18"/>
  <c r="C693" i="18"/>
  <c r="B693" i="18"/>
  <c r="H692" i="18"/>
  <c r="I692" i="18" s="1"/>
  <c r="G692" i="18"/>
  <c r="F692" i="18"/>
  <c r="E692" i="18"/>
  <c r="D692" i="18"/>
  <c r="C692" i="18"/>
  <c r="B692" i="18"/>
  <c r="H691" i="18"/>
  <c r="I691" i="18" s="1"/>
  <c r="G691" i="18"/>
  <c r="F691" i="18"/>
  <c r="E691" i="18"/>
  <c r="D691" i="18"/>
  <c r="C691" i="18"/>
  <c r="B691" i="18"/>
  <c r="H690" i="18"/>
  <c r="I690" i="18" s="1"/>
  <c r="G690" i="18"/>
  <c r="F690" i="18"/>
  <c r="E690" i="18"/>
  <c r="D690" i="18"/>
  <c r="C690" i="18"/>
  <c r="B690" i="18"/>
  <c r="H689" i="18"/>
  <c r="I689" i="18" s="1"/>
  <c r="G689" i="18"/>
  <c r="F689" i="18"/>
  <c r="E689" i="18"/>
  <c r="D689" i="18"/>
  <c r="C689" i="18"/>
  <c r="B689" i="18"/>
  <c r="H688" i="18"/>
  <c r="I688" i="18" s="1"/>
  <c r="G688" i="18"/>
  <c r="F688" i="18"/>
  <c r="E688" i="18"/>
  <c r="D688" i="18"/>
  <c r="C688" i="18"/>
  <c r="B688" i="18"/>
  <c r="H687" i="18"/>
  <c r="I687" i="18" s="1"/>
  <c r="G687" i="18"/>
  <c r="F687" i="18"/>
  <c r="E687" i="18"/>
  <c r="D687" i="18"/>
  <c r="C687" i="18"/>
  <c r="B687" i="18"/>
  <c r="H686" i="18"/>
  <c r="I686" i="18" s="1"/>
  <c r="G686" i="18"/>
  <c r="F686" i="18"/>
  <c r="E686" i="18"/>
  <c r="D686" i="18"/>
  <c r="C686" i="18"/>
  <c r="B686" i="18"/>
  <c r="H685" i="18"/>
  <c r="I685" i="18" s="1"/>
  <c r="G685" i="18"/>
  <c r="F685" i="18"/>
  <c r="E685" i="18"/>
  <c r="D685" i="18"/>
  <c r="C685" i="18"/>
  <c r="B685" i="18"/>
  <c r="H684" i="18"/>
  <c r="I684" i="18" s="1"/>
  <c r="G684" i="18"/>
  <c r="F684" i="18"/>
  <c r="E684" i="18"/>
  <c r="D684" i="18"/>
  <c r="C684" i="18"/>
  <c r="B684" i="18"/>
  <c r="H683" i="18"/>
  <c r="I683" i="18" s="1"/>
  <c r="G683" i="18"/>
  <c r="F683" i="18"/>
  <c r="E683" i="18"/>
  <c r="D683" i="18"/>
  <c r="C683" i="18"/>
  <c r="B683" i="18"/>
  <c r="H682" i="18"/>
  <c r="I682" i="18" s="1"/>
  <c r="G682" i="18"/>
  <c r="F682" i="18"/>
  <c r="E682" i="18"/>
  <c r="D682" i="18"/>
  <c r="C682" i="18"/>
  <c r="B682" i="18"/>
  <c r="H681" i="18"/>
  <c r="I681" i="18" s="1"/>
  <c r="G681" i="18"/>
  <c r="F681" i="18"/>
  <c r="E681" i="18"/>
  <c r="D681" i="18"/>
  <c r="C681" i="18"/>
  <c r="B681" i="18"/>
  <c r="H680" i="18"/>
  <c r="I680" i="18" s="1"/>
  <c r="G680" i="18"/>
  <c r="F680" i="18"/>
  <c r="E680" i="18"/>
  <c r="D680" i="18"/>
  <c r="C680" i="18"/>
  <c r="B680" i="18"/>
  <c r="H679" i="18"/>
  <c r="I679" i="18" s="1"/>
  <c r="G679" i="18"/>
  <c r="F679" i="18"/>
  <c r="E679" i="18"/>
  <c r="D679" i="18"/>
  <c r="C679" i="18"/>
  <c r="B679" i="18"/>
  <c r="H678" i="18"/>
  <c r="I678" i="18" s="1"/>
  <c r="G678" i="18"/>
  <c r="F678" i="18"/>
  <c r="E678" i="18"/>
  <c r="D678" i="18"/>
  <c r="C678" i="18"/>
  <c r="B678" i="18"/>
  <c r="H677" i="18"/>
  <c r="I677" i="18" s="1"/>
  <c r="G677" i="18"/>
  <c r="F677" i="18"/>
  <c r="E677" i="18"/>
  <c r="D677" i="18"/>
  <c r="C677" i="18"/>
  <c r="B677" i="18"/>
  <c r="H676" i="18"/>
  <c r="I676" i="18" s="1"/>
  <c r="G676" i="18"/>
  <c r="F676" i="18"/>
  <c r="E676" i="18"/>
  <c r="D676" i="18"/>
  <c r="C676" i="18"/>
  <c r="B676" i="18"/>
  <c r="H675" i="18"/>
  <c r="I675" i="18" s="1"/>
  <c r="G675" i="18"/>
  <c r="F675" i="18"/>
  <c r="E675" i="18"/>
  <c r="D675" i="18"/>
  <c r="C675" i="18"/>
  <c r="B675" i="18"/>
  <c r="H674" i="18"/>
  <c r="I674" i="18" s="1"/>
  <c r="G674" i="18"/>
  <c r="F674" i="18"/>
  <c r="E674" i="18"/>
  <c r="D674" i="18"/>
  <c r="C674" i="18"/>
  <c r="B674" i="18"/>
  <c r="H673" i="18"/>
  <c r="I673" i="18" s="1"/>
  <c r="G673" i="18"/>
  <c r="F673" i="18"/>
  <c r="E673" i="18"/>
  <c r="D673" i="18"/>
  <c r="C673" i="18"/>
  <c r="B673" i="18"/>
  <c r="H672" i="18"/>
  <c r="I672" i="18" s="1"/>
  <c r="G672" i="18"/>
  <c r="F672" i="18"/>
  <c r="E672" i="18"/>
  <c r="D672" i="18"/>
  <c r="C672" i="18"/>
  <c r="B672" i="18"/>
  <c r="H671" i="18"/>
  <c r="I671" i="18" s="1"/>
  <c r="G671" i="18"/>
  <c r="F671" i="18"/>
  <c r="E671" i="18"/>
  <c r="D671" i="18"/>
  <c r="C671" i="18"/>
  <c r="B671" i="18"/>
  <c r="H670" i="18"/>
  <c r="I670" i="18" s="1"/>
  <c r="G670" i="18"/>
  <c r="F670" i="18"/>
  <c r="E670" i="18"/>
  <c r="D670" i="18"/>
  <c r="C670" i="18"/>
  <c r="B670" i="18"/>
  <c r="H669" i="18"/>
  <c r="I669" i="18" s="1"/>
  <c r="G669" i="18"/>
  <c r="F669" i="18"/>
  <c r="E669" i="18"/>
  <c r="D669" i="18"/>
  <c r="C669" i="18"/>
  <c r="B669" i="18"/>
  <c r="H668" i="18"/>
  <c r="I668" i="18" s="1"/>
  <c r="G668" i="18"/>
  <c r="F668" i="18"/>
  <c r="E668" i="18"/>
  <c r="D668" i="18"/>
  <c r="C668" i="18"/>
  <c r="B668" i="18"/>
  <c r="H667" i="18"/>
  <c r="I667" i="18" s="1"/>
  <c r="G667" i="18"/>
  <c r="F667" i="18"/>
  <c r="E667" i="18"/>
  <c r="D667" i="18"/>
  <c r="C667" i="18"/>
  <c r="B667" i="18"/>
  <c r="H666" i="18"/>
  <c r="I666" i="18" s="1"/>
  <c r="G666" i="18"/>
  <c r="F666" i="18"/>
  <c r="E666" i="18"/>
  <c r="D666" i="18"/>
  <c r="C666" i="18"/>
  <c r="B666" i="18"/>
  <c r="H665" i="18"/>
  <c r="I665" i="18" s="1"/>
  <c r="G665" i="18"/>
  <c r="F665" i="18"/>
  <c r="E665" i="18"/>
  <c r="D665" i="18"/>
  <c r="C665" i="18"/>
  <c r="B665" i="18"/>
  <c r="H664" i="18"/>
  <c r="I664" i="18" s="1"/>
  <c r="G664" i="18"/>
  <c r="F664" i="18"/>
  <c r="E664" i="18"/>
  <c r="D664" i="18"/>
  <c r="C664" i="18"/>
  <c r="B664" i="18"/>
  <c r="H663" i="18"/>
  <c r="I663" i="18" s="1"/>
  <c r="G663" i="18"/>
  <c r="F663" i="18"/>
  <c r="E663" i="18"/>
  <c r="D663" i="18"/>
  <c r="C663" i="18"/>
  <c r="B663" i="18"/>
  <c r="H662" i="18"/>
  <c r="I662" i="18" s="1"/>
  <c r="G662" i="18"/>
  <c r="F662" i="18"/>
  <c r="E662" i="18"/>
  <c r="D662" i="18"/>
  <c r="C662" i="18"/>
  <c r="B662" i="18"/>
  <c r="H661" i="18"/>
  <c r="I661" i="18" s="1"/>
  <c r="G661" i="18"/>
  <c r="F661" i="18"/>
  <c r="E661" i="18"/>
  <c r="D661" i="18"/>
  <c r="C661" i="18"/>
  <c r="B661" i="18"/>
  <c r="H660" i="18"/>
  <c r="I660" i="18" s="1"/>
  <c r="G660" i="18"/>
  <c r="F660" i="18"/>
  <c r="E660" i="18"/>
  <c r="D660" i="18"/>
  <c r="C660" i="18"/>
  <c r="B660" i="18"/>
  <c r="H659" i="18"/>
  <c r="I659" i="18" s="1"/>
  <c r="G659" i="18"/>
  <c r="F659" i="18"/>
  <c r="E659" i="18"/>
  <c r="D659" i="18"/>
  <c r="C659" i="18"/>
  <c r="B659" i="18"/>
  <c r="H658" i="18"/>
  <c r="I658" i="18" s="1"/>
  <c r="G658" i="18"/>
  <c r="F658" i="18"/>
  <c r="E658" i="18"/>
  <c r="D658" i="18"/>
  <c r="C658" i="18"/>
  <c r="B658" i="18"/>
  <c r="H657" i="18"/>
  <c r="I657" i="18" s="1"/>
  <c r="G657" i="18"/>
  <c r="F657" i="18"/>
  <c r="E657" i="18"/>
  <c r="D657" i="18"/>
  <c r="C657" i="18"/>
  <c r="B657" i="18"/>
  <c r="H656" i="18"/>
  <c r="I656" i="18" s="1"/>
  <c r="G656" i="18"/>
  <c r="F656" i="18"/>
  <c r="E656" i="18"/>
  <c r="D656" i="18"/>
  <c r="C656" i="18"/>
  <c r="B656" i="18"/>
  <c r="H655" i="18"/>
  <c r="I655" i="18" s="1"/>
  <c r="G655" i="18"/>
  <c r="F655" i="18"/>
  <c r="E655" i="18"/>
  <c r="D655" i="18"/>
  <c r="C655" i="18"/>
  <c r="B655" i="18"/>
  <c r="H654" i="18"/>
  <c r="I654" i="18" s="1"/>
  <c r="G654" i="18"/>
  <c r="F654" i="18"/>
  <c r="E654" i="18"/>
  <c r="D654" i="18"/>
  <c r="C654" i="18"/>
  <c r="B654" i="18"/>
  <c r="H653" i="18"/>
  <c r="I653" i="18" s="1"/>
  <c r="G653" i="18"/>
  <c r="F653" i="18"/>
  <c r="E653" i="18"/>
  <c r="D653" i="18"/>
  <c r="C653" i="18"/>
  <c r="B653" i="18"/>
  <c r="H652" i="18"/>
  <c r="I652" i="18" s="1"/>
  <c r="G652" i="18"/>
  <c r="F652" i="18"/>
  <c r="E652" i="18"/>
  <c r="D652" i="18"/>
  <c r="C652" i="18"/>
  <c r="B652" i="18"/>
  <c r="H651" i="18"/>
  <c r="I651" i="18" s="1"/>
  <c r="G651" i="18"/>
  <c r="F651" i="18"/>
  <c r="E651" i="18"/>
  <c r="D651" i="18"/>
  <c r="C651" i="18"/>
  <c r="B651" i="18"/>
  <c r="H650" i="18"/>
  <c r="I650" i="18" s="1"/>
  <c r="G650" i="18"/>
  <c r="F650" i="18"/>
  <c r="E650" i="18"/>
  <c r="D650" i="18"/>
  <c r="C650" i="18"/>
  <c r="B650" i="18"/>
  <c r="H649" i="18"/>
  <c r="I649" i="18" s="1"/>
  <c r="G649" i="18"/>
  <c r="F649" i="18"/>
  <c r="E649" i="18"/>
  <c r="D649" i="18"/>
  <c r="C649" i="18"/>
  <c r="B649" i="18"/>
  <c r="H648" i="18"/>
  <c r="I648" i="18" s="1"/>
  <c r="G648" i="18"/>
  <c r="F648" i="18"/>
  <c r="E648" i="18"/>
  <c r="D648" i="18"/>
  <c r="C648" i="18"/>
  <c r="B648" i="18"/>
  <c r="H647" i="18"/>
  <c r="I647" i="18" s="1"/>
  <c r="G647" i="18"/>
  <c r="F647" i="18"/>
  <c r="E647" i="18"/>
  <c r="D647" i="18"/>
  <c r="C647" i="18"/>
  <c r="B647" i="18"/>
  <c r="H646" i="18"/>
  <c r="I646" i="18" s="1"/>
  <c r="G646" i="18"/>
  <c r="F646" i="18"/>
  <c r="E646" i="18"/>
  <c r="D646" i="18"/>
  <c r="C646" i="18"/>
  <c r="B646" i="18"/>
  <c r="H645" i="18"/>
  <c r="I645" i="18" s="1"/>
  <c r="G645" i="18"/>
  <c r="F645" i="18"/>
  <c r="E645" i="18"/>
  <c r="D645" i="18"/>
  <c r="C645" i="18"/>
  <c r="B645" i="18"/>
  <c r="H644" i="18"/>
  <c r="I644" i="18" s="1"/>
  <c r="G644" i="18"/>
  <c r="F644" i="18"/>
  <c r="E644" i="18"/>
  <c r="D644" i="18"/>
  <c r="C644" i="18"/>
  <c r="B644" i="18"/>
  <c r="H643" i="18"/>
  <c r="I643" i="18" s="1"/>
  <c r="G643" i="18"/>
  <c r="F643" i="18"/>
  <c r="E643" i="18"/>
  <c r="D643" i="18"/>
  <c r="C643" i="18"/>
  <c r="B643" i="18"/>
  <c r="H642" i="18"/>
  <c r="I642" i="18" s="1"/>
  <c r="G642" i="18"/>
  <c r="F642" i="18"/>
  <c r="E642" i="18"/>
  <c r="D642" i="18"/>
  <c r="C642" i="18"/>
  <c r="B642" i="18"/>
  <c r="H641" i="18"/>
  <c r="I641" i="18" s="1"/>
  <c r="G641" i="18"/>
  <c r="F641" i="18"/>
  <c r="E641" i="18"/>
  <c r="D641" i="18"/>
  <c r="C641" i="18"/>
  <c r="B641" i="18"/>
  <c r="H640" i="18"/>
  <c r="I640" i="18" s="1"/>
  <c r="G640" i="18"/>
  <c r="F640" i="18"/>
  <c r="E640" i="18"/>
  <c r="D640" i="18"/>
  <c r="C640" i="18"/>
  <c r="B640" i="18"/>
  <c r="H639" i="18"/>
  <c r="I639" i="18" s="1"/>
  <c r="G639" i="18"/>
  <c r="F639" i="18"/>
  <c r="E639" i="18"/>
  <c r="D639" i="18"/>
  <c r="C639" i="18"/>
  <c r="B639" i="18"/>
  <c r="H638" i="18"/>
  <c r="I638" i="18" s="1"/>
  <c r="G638" i="18"/>
  <c r="F638" i="18"/>
  <c r="E638" i="18"/>
  <c r="D638" i="18"/>
  <c r="C638" i="18"/>
  <c r="B638" i="18"/>
  <c r="H637" i="18"/>
  <c r="I637" i="18" s="1"/>
  <c r="G637" i="18"/>
  <c r="F637" i="18"/>
  <c r="E637" i="18"/>
  <c r="D637" i="18"/>
  <c r="C637" i="18"/>
  <c r="B637" i="18"/>
  <c r="H636" i="18"/>
  <c r="I636" i="18" s="1"/>
  <c r="G636" i="18"/>
  <c r="F636" i="18"/>
  <c r="E636" i="18"/>
  <c r="D636" i="18"/>
  <c r="C636" i="18"/>
  <c r="B636" i="18"/>
  <c r="H635" i="18"/>
  <c r="I635" i="18" s="1"/>
  <c r="G635" i="18"/>
  <c r="F635" i="18"/>
  <c r="E635" i="18"/>
  <c r="D635" i="18"/>
  <c r="C635" i="18"/>
  <c r="B635" i="18"/>
  <c r="H634" i="18"/>
  <c r="I634" i="18" s="1"/>
  <c r="G634" i="18"/>
  <c r="F634" i="18"/>
  <c r="E634" i="18"/>
  <c r="D634" i="18"/>
  <c r="C634" i="18"/>
  <c r="B634" i="18"/>
  <c r="H633" i="18"/>
  <c r="I633" i="18" s="1"/>
  <c r="G633" i="18"/>
  <c r="F633" i="18"/>
  <c r="E633" i="18"/>
  <c r="D633" i="18"/>
  <c r="C633" i="18"/>
  <c r="B633" i="18"/>
  <c r="H632" i="18"/>
  <c r="I632" i="18" s="1"/>
  <c r="G632" i="18"/>
  <c r="F632" i="18"/>
  <c r="E632" i="18"/>
  <c r="D632" i="18"/>
  <c r="C632" i="18"/>
  <c r="B632" i="18"/>
  <c r="H631" i="18"/>
  <c r="I631" i="18" s="1"/>
  <c r="G631" i="18"/>
  <c r="F631" i="18"/>
  <c r="E631" i="18"/>
  <c r="D631" i="18"/>
  <c r="C631" i="18"/>
  <c r="B631" i="18"/>
  <c r="H630" i="18"/>
  <c r="I630" i="18" s="1"/>
  <c r="G630" i="18"/>
  <c r="F630" i="18"/>
  <c r="E630" i="18"/>
  <c r="D630" i="18"/>
  <c r="C630" i="18"/>
  <c r="B630" i="18"/>
  <c r="H629" i="18"/>
  <c r="I629" i="18" s="1"/>
  <c r="G629" i="18"/>
  <c r="F629" i="18"/>
  <c r="E629" i="18"/>
  <c r="D629" i="18"/>
  <c r="C629" i="18"/>
  <c r="B629" i="18"/>
  <c r="H628" i="18"/>
  <c r="I628" i="18" s="1"/>
  <c r="G628" i="18"/>
  <c r="F628" i="18"/>
  <c r="E628" i="18"/>
  <c r="D628" i="18"/>
  <c r="C628" i="18"/>
  <c r="B628" i="18"/>
  <c r="H627" i="18"/>
  <c r="I627" i="18" s="1"/>
  <c r="G627" i="18"/>
  <c r="F627" i="18"/>
  <c r="E627" i="18"/>
  <c r="D627" i="18"/>
  <c r="C627" i="18"/>
  <c r="B627" i="18"/>
  <c r="H626" i="18"/>
  <c r="I626" i="18" s="1"/>
  <c r="G626" i="18"/>
  <c r="F626" i="18"/>
  <c r="E626" i="18"/>
  <c r="D626" i="18"/>
  <c r="C626" i="18"/>
  <c r="B626" i="18"/>
  <c r="H625" i="18"/>
  <c r="I625" i="18" s="1"/>
  <c r="G625" i="18"/>
  <c r="F625" i="18"/>
  <c r="E625" i="18"/>
  <c r="D625" i="18"/>
  <c r="C625" i="18"/>
  <c r="B625" i="18"/>
  <c r="H624" i="18"/>
  <c r="I624" i="18" s="1"/>
  <c r="G624" i="18"/>
  <c r="F624" i="18"/>
  <c r="E624" i="18"/>
  <c r="D624" i="18"/>
  <c r="C624" i="18"/>
  <c r="B624" i="18"/>
  <c r="H623" i="18"/>
  <c r="I623" i="18" s="1"/>
  <c r="G623" i="18"/>
  <c r="F623" i="18"/>
  <c r="E623" i="18"/>
  <c r="D623" i="18"/>
  <c r="C623" i="18"/>
  <c r="B623" i="18"/>
  <c r="H622" i="18"/>
  <c r="I622" i="18" s="1"/>
  <c r="G622" i="18"/>
  <c r="F622" i="18"/>
  <c r="E622" i="18"/>
  <c r="D622" i="18"/>
  <c r="C622" i="18"/>
  <c r="B622" i="18"/>
  <c r="H621" i="18"/>
  <c r="I621" i="18" s="1"/>
  <c r="G621" i="18"/>
  <c r="F621" i="18"/>
  <c r="E621" i="18"/>
  <c r="D621" i="18"/>
  <c r="C621" i="18"/>
  <c r="B621" i="18"/>
  <c r="H620" i="18"/>
  <c r="I620" i="18" s="1"/>
  <c r="G620" i="18"/>
  <c r="F620" i="18"/>
  <c r="E620" i="18"/>
  <c r="D620" i="18"/>
  <c r="C620" i="18"/>
  <c r="B620" i="18"/>
  <c r="H619" i="18"/>
  <c r="I619" i="18" s="1"/>
  <c r="G619" i="18"/>
  <c r="F619" i="18"/>
  <c r="E619" i="18"/>
  <c r="D619" i="18"/>
  <c r="C619" i="18"/>
  <c r="B619" i="18"/>
  <c r="H618" i="18"/>
  <c r="I618" i="18" s="1"/>
  <c r="G618" i="18"/>
  <c r="F618" i="18"/>
  <c r="E618" i="18"/>
  <c r="D618" i="18"/>
  <c r="C618" i="18"/>
  <c r="B618" i="18"/>
  <c r="H617" i="18"/>
  <c r="I617" i="18" s="1"/>
  <c r="G617" i="18"/>
  <c r="F617" i="18"/>
  <c r="E617" i="18"/>
  <c r="D617" i="18"/>
  <c r="C617" i="18"/>
  <c r="B617" i="18"/>
  <c r="H616" i="18"/>
  <c r="I616" i="18" s="1"/>
  <c r="G616" i="18"/>
  <c r="F616" i="18"/>
  <c r="E616" i="18"/>
  <c r="D616" i="18"/>
  <c r="C616" i="18"/>
  <c r="B616" i="18"/>
  <c r="H615" i="18"/>
  <c r="I615" i="18" s="1"/>
  <c r="G615" i="18"/>
  <c r="F615" i="18"/>
  <c r="E615" i="18"/>
  <c r="D615" i="18"/>
  <c r="C615" i="18"/>
  <c r="B615" i="18"/>
  <c r="H614" i="18"/>
  <c r="I614" i="18" s="1"/>
  <c r="G614" i="18"/>
  <c r="F614" i="18"/>
  <c r="E614" i="18"/>
  <c r="D614" i="18"/>
  <c r="C614" i="18"/>
  <c r="B614" i="18"/>
  <c r="H613" i="18"/>
  <c r="I613" i="18" s="1"/>
  <c r="G613" i="18"/>
  <c r="F613" i="18"/>
  <c r="E613" i="18"/>
  <c r="D613" i="18"/>
  <c r="C613" i="18"/>
  <c r="B613" i="18"/>
  <c r="H612" i="18"/>
  <c r="I612" i="18" s="1"/>
  <c r="G612" i="18"/>
  <c r="F612" i="18"/>
  <c r="E612" i="18"/>
  <c r="D612" i="18"/>
  <c r="C612" i="18"/>
  <c r="B612" i="18"/>
  <c r="H611" i="18"/>
  <c r="I611" i="18" s="1"/>
  <c r="G611" i="18"/>
  <c r="F611" i="18"/>
  <c r="E611" i="18"/>
  <c r="D611" i="18"/>
  <c r="C611" i="18"/>
  <c r="B611" i="18"/>
  <c r="H610" i="18"/>
  <c r="I610" i="18" s="1"/>
  <c r="G610" i="18"/>
  <c r="F610" i="18"/>
  <c r="E610" i="18"/>
  <c r="D610" i="18"/>
  <c r="C610" i="18"/>
  <c r="B610" i="18"/>
  <c r="H609" i="18"/>
  <c r="I609" i="18" s="1"/>
  <c r="G609" i="18"/>
  <c r="F609" i="18"/>
  <c r="E609" i="18"/>
  <c r="D609" i="18"/>
  <c r="C609" i="18"/>
  <c r="B609" i="18"/>
  <c r="H608" i="18"/>
  <c r="I608" i="18" s="1"/>
  <c r="G608" i="18"/>
  <c r="F608" i="18"/>
  <c r="E608" i="18"/>
  <c r="D608" i="18"/>
  <c r="C608" i="18"/>
  <c r="B608" i="18"/>
  <c r="H607" i="18"/>
  <c r="I607" i="18" s="1"/>
  <c r="G607" i="18"/>
  <c r="F607" i="18"/>
  <c r="E607" i="18"/>
  <c r="D607" i="18"/>
  <c r="C607" i="18"/>
  <c r="B607" i="18"/>
  <c r="H606" i="18"/>
  <c r="I606" i="18" s="1"/>
  <c r="G606" i="18"/>
  <c r="F606" i="18"/>
  <c r="E606" i="18"/>
  <c r="D606" i="18"/>
  <c r="C606" i="18"/>
  <c r="B606" i="18"/>
  <c r="H605" i="18"/>
  <c r="I605" i="18" s="1"/>
  <c r="G605" i="18"/>
  <c r="F605" i="18"/>
  <c r="E605" i="18"/>
  <c r="D605" i="18"/>
  <c r="C605" i="18"/>
  <c r="B605" i="18"/>
  <c r="H604" i="18"/>
  <c r="I604" i="18" s="1"/>
  <c r="G604" i="18"/>
  <c r="F604" i="18"/>
  <c r="E604" i="18"/>
  <c r="D604" i="18"/>
  <c r="C604" i="18"/>
  <c r="B604" i="18"/>
  <c r="H603" i="18"/>
  <c r="I603" i="18" s="1"/>
  <c r="G603" i="18"/>
  <c r="F603" i="18"/>
  <c r="E603" i="18"/>
  <c r="D603" i="18"/>
  <c r="C603" i="18"/>
  <c r="B603" i="18"/>
  <c r="H602" i="18"/>
  <c r="I602" i="18" s="1"/>
  <c r="G602" i="18"/>
  <c r="F602" i="18"/>
  <c r="E602" i="18"/>
  <c r="D602" i="18"/>
  <c r="C602" i="18"/>
  <c r="B602" i="18"/>
  <c r="H601" i="18"/>
  <c r="I601" i="18" s="1"/>
  <c r="G601" i="18"/>
  <c r="F601" i="18"/>
  <c r="E601" i="18"/>
  <c r="D601" i="18"/>
  <c r="C601" i="18"/>
  <c r="B601" i="18"/>
  <c r="H600" i="18"/>
  <c r="I600" i="18" s="1"/>
  <c r="G600" i="18"/>
  <c r="F600" i="18"/>
  <c r="E600" i="18"/>
  <c r="D600" i="18"/>
  <c r="C600" i="18"/>
  <c r="B600" i="18"/>
  <c r="H599" i="18"/>
  <c r="I599" i="18" s="1"/>
  <c r="G599" i="18"/>
  <c r="F599" i="18"/>
  <c r="E599" i="18"/>
  <c r="D599" i="18"/>
  <c r="C599" i="18"/>
  <c r="B599" i="18"/>
  <c r="H598" i="18"/>
  <c r="I598" i="18" s="1"/>
  <c r="G598" i="18"/>
  <c r="F598" i="18"/>
  <c r="E598" i="18"/>
  <c r="D598" i="18"/>
  <c r="C598" i="18"/>
  <c r="B598" i="18"/>
  <c r="H597" i="18"/>
  <c r="I597" i="18" s="1"/>
  <c r="G597" i="18"/>
  <c r="F597" i="18"/>
  <c r="E597" i="18"/>
  <c r="D597" i="18"/>
  <c r="C597" i="18"/>
  <c r="B597" i="18"/>
  <c r="H596" i="18"/>
  <c r="I596" i="18" s="1"/>
  <c r="G596" i="18"/>
  <c r="F596" i="18"/>
  <c r="E596" i="18"/>
  <c r="D596" i="18"/>
  <c r="C596" i="18"/>
  <c r="B596" i="18"/>
  <c r="H595" i="18"/>
  <c r="I595" i="18" s="1"/>
  <c r="G595" i="18"/>
  <c r="F595" i="18"/>
  <c r="E595" i="18"/>
  <c r="D595" i="18"/>
  <c r="C595" i="18"/>
  <c r="B595" i="18"/>
  <c r="H594" i="18"/>
  <c r="I594" i="18" s="1"/>
  <c r="G594" i="18"/>
  <c r="F594" i="18"/>
  <c r="E594" i="18"/>
  <c r="D594" i="18"/>
  <c r="C594" i="18"/>
  <c r="B594" i="18"/>
  <c r="H593" i="18"/>
  <c r="I593" i="18" s="1"/>
  <c r="G593" i="18"/>
  <c r="F593" i="18"/>
  <c r="E593" i="18"/>
  <c r="D593" i="18"/>
  <c r="C593" i="18"/>
  <c r="B593" i="18"/>
  <c r="H592" i="18"/>
  <c r="I592" i="18" s="1"/>
  <c r="G592" i="18"/>
  <c r="F592" i="18"/>
  <c r="E592" i="18"/>
  <c r="D592" i="18"/>
  <c r="C592" i="18"/>
  <c r="B592" i="18"/>
  <c r="H591" i="18"/>
  <c r="I591" i="18" s="1"/>
  <c r="G591" i="18"/>
  <c r="F591" i="18"/>
  <c r="E591" i="18"/>
  <c r="D591" i="18"/>
  <c r="C591" i="18"/>
  <c r="B591" i="18"/>
  <c r="H590" i="18"/>
  <c r="I590" i="18" s="1"/>
  <c r="G590" i="18"/>
  <c r="F590" i="18"/>
  <c r="E590" i="18"/>
  <c r="D590" i="18"/>
  <c r="C590" i="18"/>
  <c r="B590" i="18"/>
  <c r="H589" i="18"/>
  <c r="I589" i="18" s="1"/>
  <c r="G589" i="18"/>
  <c r="F589" i="18"/>
  <c r="E589" i="18"/>
  <c r="D589" i="18"/>
  <c r="C589" i="18"/>
  <c r="B589" i="18"/>
  <c r="H588" i="18"/>
  <c r="I588" i="18" s="1"/>
  <c r="G588" i="18"/>
  <c r="F588" i="18"/>
  <c r="E588" i="18"/>
  <c r="D588" i="18"/>
  <c r="C588" i="18"/>
  <c r="B588" i="18"/>
  <c r="H587" i="18"/>
  <c r="I587" i="18" s="1"/>
  <c r="G587" i="18"/>
  <c r="F587" i="18"/>
  <c r="E587" i="18"/>
  <c r="D587" i="18"/>
  <c r="C587" i="18"/>
  <c r="B587" i="18"/>
  <c r="H586" i="18"/>
  <c r="I586" i="18" s="1"/>
  <c r="G586" i="18"/>
  <c r="F586" i="18"/>
  <c r="E586" i="18"/>
  <c r="D586" i="18"/>
  <c r="C586" i="18"/>
  <c r="B586" i="18"/>
  <c r="H585" i="18"/>
  <c r="I585" i="18" s="1"/>
  <c r="G585" i="18"/>
  <c r="F585" i="18"/>
  <c r="E585" i="18"/>
  <c r="D585" i="18"/>
  <c r="C585" i="18"/>
  <c r="B585" i="18"/>
  <c r="H584" i="18"/>
  <c r="I584" i="18" s="1"/>
  <c r="G584" i="18"/>
  <c r="F584" i="18"/>
  <c r="E584" i="18"/>
  <c r="D584" i="18"/>
  <c r="C584" i="18"/>
  <c r="B584" i="18"/>
  <c r="H583" i="18"/>
  <c r="I583" i="18" s="1"/>
  <c r="G583" i="18"/>
  <c r="F583" i="18"/>
  <c r="E583" i="18"/>
  <c r="D583" i="18"/>
  <c r="C583" i="18"/>
  <c r="B583" i="18"/>
  <c r="H582" i="18"/>
  <c r="I582" i="18" s="1"/>
  <c r="G582" i="18"/>
  <c r="F582" i="18"/>
  <c r="E582" i="18"/>
  <c r="D582" i="18"/>
  <c r="C582" i="18"/>
  <c r="B582" i="18"/>
  <c r="H581" i="18"/>
  <c r="I581" i="18" s="1"/>
  <c r="G581" i="18"/>
  <c r="F581" i="18"/>
  <c r="E581" i="18"/>
  <c r="D581" i="18"/>
  <c r="C581" i="18"/>
  <c r="B581" i="18"/>
  <c r="H580" i="18"/>
  <c r="I580" i="18" s="1"/>
  <c r="G580" i="18"/>
  <c r="F580" i="18"/>
  <c r="E580" i="18"/>
  <c r="D580" i="18"/>
  <c r="C580" i="18"/>
  <c r="B580" i="18"/>
  <c r="H579" i="18"/>
  <c r="I579" i="18" s="1"/>
  <c r="G579" i="18"/>
  <c r="F579" i="18"/>
  <c r="E579" i="18"/>
  <c r="D579" i="18"/>
  <c r="C579" i="18"/>
  <c r="B579" i="18"/>
  <c r="H578" i="18"/>
  <c r="I578" i="18" s="1"/>
  <c r="G578" i="18"/>
  <c r="F578" i="18"/>
  <c r="E578" i="18"/>
  <c r="D578" i="18"/>
  <c r="C578" i="18"/>
  <c r="B578" i="18"/>
  <c r="H577" i="18"/>
  <c r="I577" i="18" s="1"/>
  <c r="G577" i="18"/>
  <c r="F577" i="18"/>
  <c r="E577" i="18"/>
  <c r="D577" i="18"/>
  <c r="C577" i="18"/>
  <c r="B577" i="18"/>
  <c r="H576" i="18"/>
  <c r="I576" i="18" s="1"/>
  <c r="G576" i="18"/>
  <c r="F576" i="18"/>
  <c r="E576" i="18"/>
  <c r="D576" i="18"/>
  <c r="C576" i="18"/>
  <c r="B576" i="18"/>
  <c r="H575" i="18"/>
  <c r="I575" i="18" s="1"/>
  <c r="G575" i="18"/>
  <c r="F575" i="18"/>
  <c r="E575" i="18"/>
  <c r="D575" i="18"/>
  <c r="C575" i="18"/>
  <c r="B575" i="18"/>
  <c r="H574" i="18"/>
  <c r="I574" i="18" s="1"/>
  <c r="G574" i="18"/>
  <c r="F574" i="18"/>
  <c r="E574" i="18"/>
  <c r="D574" i="18"/>
  <c r="C574" i="18"/>
  <c r="B574" i="18"/>
  <c r="H573" i="18"/>
  <c r="I573" i="18" s="1"/>
  <c r="G573" i="18"/>
  <c r="F573" i="18"/>
  <c r="E573" i="18"/>
  <c r="D573" i="18"/>
  <c r="C573" i="18"/>
  <c r="B573" i="18"/>
  <c r="H572" i="18"/>
  <c r="I572" i="18" s="1"/>
  <c r="G572" i="18"/>
  <c r="F572" i="18"/>
  <c r="E572" i="18"/>
  <c r="D572" i="18"/>
  <c r="C572" i="18"/>
  <c r="B572" i="18"/>
  <c r="H571" i="18"/>
  <c r="I571" i="18" s="1"/>
  <c r="G571" i="18"/>
  <c r="F571" i="18"/>
  <c r="E571" i="18"/>
  <c r="D571" i="18"/>
  <c r="C571" i="18"/>
  <c r="B571" i="18"/>
  <c r="H570" i="18"/>
  <c r="I570" i="18" s="1"/>
  <c r="G570" i="18"/>
  <c r="F570" i="18"/>
  <c r="E570" i="18"/>
  <c r="D570" i="18"/>
  <c r="C570" i="18"/>
  <c r="B570" i="18"/>
  <c r="H569" i="18"/>
  <c r="I569" i="18" s="1"/>
  <c r="G569" i="18"/>
  <c r="F569" i="18"/>
  <c r="E569" i="18"/>
  <c r="D569" i="18"/>
  <c r="C569" i="18"/>
  <c r="B569" i="18"/>
  <c r="H568" i="18"/>
  <c r="I568" i="18" s="1"/>
  <c r="G568" i="18"/>
  <c r="F568" i="18"/>
  <c r="E568" i="18"/>
  <c r="D568" i="18"/>
  <c r="C568" i="18"/>
  <c r="B568" i="18"/>
  <c r="H567" i="18"/>
  <c r="I567" i="18" s="1"/>
  <c r="G567" i="18"/>
  <c r="F567" i="18"/>
  <c r="E567" i="18"/>
  <c r="D567" i="18"/>
  <c r="C567" i="18"/>
  <c r="B567" i="18"/>
  <c r="H566" i="18"/>
  <c r="I566" i="18" s="1"/>
  <c r="G566" i="18"/>
  <c r="F566" i="18"/>
  <c r="E566" i="18"/>
  <c r="D566" i="18"/>
  <c r="C566" i="18"/>
  <c r="B566" i="18"/>
  <c r="H565" i="18"/>
  <c r="I565" i="18" s="1"/>
  <c r="G565" i="18"/>
  <c r="F565" i="18"/>
  <c r="E565" i="18"/>
  <c r="D565" i="18"/>
  <c r="C565" i="18"/>
  <c r="B565" i="18"/>
  <c r="H564" i="18"/>
  <c r="I564" i="18" s="1"/>
  <c r="G564" i="18"/>
  <c r="F564" i="18"/>
  <c r="E564" i="18"/>
  <c r="D564" i="18"/>
  <c r="C564" i="18"/>
  <c r="B564" i="18"/>
  <c r="H563" i="18"/>
  <c r="I563" i="18" s="1"/>
  <c r="G563" i="18"/>
  <c r="F563" i="18"/>
  <c r="E563" i="18"/>
  <c r="D563" i="18"/>
  <c r="C563" i="18"/>
  <c r="B563" i="18"/>
  <c r="H562" i="18"/>
  <c r="I562" i="18" s="1"/>
  <c r="G562" i="18"/>
  <c r="F562" i="18"/>
  <c r="E562" i="18"/>
  <c r="D562" i="18"/>
  <c r="C562" i="18"/>
  <c r="B562" i="18"/>
  <c r="H561" i="18"/>
  <c r="I561" i="18" s="1"/>
  <c r="G561" i="18"/>
  <c r="F561" i="18"/>
  <c r="E561" i="18"/>
  <c r="D561" i="18"/>
  <c r="C561" i="18"/>
  <c r="B561" i="18"/>
  <c r="H560" i="18"/>
  <c r="I560" i="18" s="1"/>
  <c r="G560" i="18"/>
  <c r="F560" i="18"/>
  <c r="E560" i="18"/>
  <c r="D560" i="18"/>
  <c r="C560" i="18"/>
  <c r="B560" i="18"/>
  <c r="H559" i="18"/>
  <c r="I559" i="18" s="1"/>
  <c r="G559" i="18"/>
  <c r="F559" i="18"/>
  <c r="E559" i="18"/>
  <c r="D559" i="18"/>
  <c r="C559" i="18"/>
  <c r="B559" i="18"/>
  <c r="H558" i="18"/>
  <c r="I558" i="18" s="1"/>
  <c r="G558" i="18"/>
  <c r="F558" i="18"/>
  <c r="E558" i="18"/>
  <c r="D558" i="18"/>
  <c r="C558" i="18"/>
  <c r="B558" i="18"/>
  <c r="H557" i="18"/>
  <c r="I557" i="18" s="1"/>
  <c r="G557" i="18"/>
  <c r="F557" i="18"/>
  <c r="E557" i="18"/>
  <c r="D557" i="18"/>
  <c r="C557" i="18"/>
  <c r="B557" i="18"/>
  <c r="H556" i="18"/>
  <c r="I556" i="18" s="1"/>
  <c r="G556" i="18"/>
  <c r="F556" i="18"/>
  <c r="E556" i="18"/>
  <c r="D556" i="18"/>
  <c r="C556" i="18"/>
  <c r="B556" i="18"/>
  <c r="H555" i="18"/>
  <c r="I555" i="18" s="1"/>
  <c r="G555" i="18"/>
  <c r="F555" i="18"/>
  <c r="E555" i="18"/>
  <c r="D555" i="18"/>
  <c r="C555" i="18"/>
  <c r="B555" i="18"/>
  <c r="H554" i="18"/>
  <c r="I554" i="18" s="1"/>
  <c r="G554" i="18"/>
  <c r="F554" i="18"/>
  <c r="E554" i="18"/>
  <c r="D554" i="18"/>
  <c r="C554" i="18"/>
  <c r="B554" i="18"/>
  <c r="H553" i="18"/>
  <c r="I553" i="18" s="1"/>
  <c r="G553" i="18"/>
  <c r="F553" i="18"/>
  <c r="E553" i="18"/>
  <c r="D553" i="18"/>
  <c r="C553" i="18"/>
  <c r="B553" i="18"/>
  <c r="H552" i="18"/>
  <c r="I552" i="18" s="1"/>
  <c r="G552" i="18"/>
  <c r="F552" i="18"/>
  <c r="E552" i="18"/>
  <c r="D552" i="18"/>
  <c r="C552" i="18"/>
  <c r="B552" i="18"/>
  <c r="H551" i="18"/>
  <c r="I551" i="18" s="1"/>
  <c r="G551" i="18"/>
  <c r="F551" i="18"/>
  <c r="E551" i="18"/>
  <c r="D551" i="18"/>
  <c r="C551" i="18"/>
  <c r="B551" i="18"/>
  <c r="H550" i="18"/>
  <c r="I550" i="18" s="1"/>
  <c r="G550" i="18"/>
  <c r="F550" i="18"/>
  <c r="E550" i="18"/>
  <c r="D550" i="18"/>
  <c r="C550" i="18"/>
  <c r="B550" i="18"/>
  <c r="H549" i="18"/>
  <c r="I549" i="18" s="1"/>
  <c r="G549" i="18"/>
  <c r="F549" i="18"/>
  <c r="E549" i="18"/>
  <c r="D549" i="18"/>
  <c r="C549" i="18"/>
  <c r="B549" i="18"/>
  <c r="H548" i="18"/>
  <c r="I548" i="18" s="1"/>
  <c r="G548" i="18"/>
  <c r="F548" i="18"/>
  <c r="E548" i="18"/>
  <c r="D548" i="18"/>
  <c r="C548" i="18"/>
  <c r="B548" i="18"/>
  <c r="H547" i="18"/>
  <c r="I547" i="18" s="1"/>
  <c r="G547" i="18"/>
  <c r="F547" i="18"/>
  <c r="E547" i="18"/>
  <c r="D547" i="18"/>
  <c r="C547" i="18"/>
  <c r="B547" i="18"/>
  <c r="H546" i="18"/>
  <c r="I546" i="18" s="1"/>
  <c r="G546" i="18"/>
  <c r="F546" i="18"/>
  <c r="E546" i="18"/>
  <c r="D546" i="18"/>
  <c r="C546" i="18"/>
  <c r="B546" i="18"/>
  <c r="H545" i="18"/>
  <c r="I545" i="18" s="1"/>
  <c r="G545" i="18"/>
  <c r="F545" i="18"/>
  <c r="E545" i="18"/>
  <c r="D545" i="18"/>
  <c r="C545" i="18"/>
  <c r="B545" i="18"/>
  <c r="H544" i="18"/>
  <c r="I544" i="18" s="1"/>
  <c r="G544" i="18"/>
  <c r="F544" i="18"/>
  <c r="E544" i="18"/>
  <c r="D544" i="18"/>
  <c r="C544" i="18"/>
  <c r="B544" i="18"/>
  <c r="H543" i="18"/>
  <c r="I543" i="18" s="1"/>
  <c r="G543" i="18"/>
  <c r="F543" i="18"/>
  <c r="E543" i="18"/>
  <c r="D543" i="18"/>
  <c r="C543" i="18"/>
  <c r="B543" i="18"/>
  <c r="H542" i="18"/>
  <c r="I542" i="18" s="1"/>
  <c r="G542" i="18"/>
  <c r="F542" i="18"/>
  <c r="E542" i="18"/>
  <c r="D542" i="18"/>
  <c r="C542" i="18"/>
  <c r="B542" i="18"/>
  <c r="H541" i="18"/>
  <c r="I541" i="18" s="1"/>
  <c r="G541" i="18"/>
  <c r="F541" i="18"/>
  <c r="E541" i="18"/>
  <c r="D541" i="18"/>
  <c r="C541" i="18"/>
  <c r="B541" i="18"/>
  <c r="H540" i="18"/>
  <c r="I540" i="18" s="1"/>
  <c r="G540" i="18"/>
  <c r="F540" i="18"/>
  <c r="E540" i="18"/>
  <c r="D540" i="18"/>
  <c r="C540" i="18"/>
  <c r="B540" i="18"/>
  <c r="H539" i="18"/>
  <c r="I539" i="18" s="1"/>
  <c r="G539" i="18"/>
  <c r="F539" i="18"/>
  <c r="E539" i="18"/>
  <c r="D539" i="18"/>
  <c r="C539" i="18"/>
  <c r="B539" i="18"/>
  <c r="H538" i="18"/>
  <c r="I538" i="18" s="1"/>
  <c r="G538" i="18"/>
  <c r="F538" i="18"/>
  <c r="E538" i="18"/>
  <c r="D538" i="18"/>
  <c r="C538" i="18"/>
  <c r="B538" i="18"/>
  <c r="H537" i="18"/>
  <c r="I537" i="18" s="1"/>
  <c r="G537" i="18"/>
  <c r="F537" i="18"/>
  <c r="E537" i="18"/>
  <c r="D537" i="18"/>
  <c r="C537" i="18"/>
  <c r="B537" i="18"/>
  <c r="H536" i="18"/>
  <c r="I536" i="18" s="1"/>
  <c r="G536" i="18"/>
  <c r="F536" i="18"/>
  <c r="E536" i="18"/>
  <c r="D536" i="18"/>
  <c r="C536" i="18"/>
  <c r="B536" i="18"/>
  <c r="H535" i="18"/>
  <c r="I535" i="18" s="1"/>
  <c r="G535" i="18"/>
  <c r="F535" i="18"/>
  <c r="E535" i="18"/>
  <c r="D535" i="18"/>
  <c r="C535" i="18"/>
  <c r="B535" i="18"/>
  <c r="H534" i="18"/>
  <c r="I534" i="18" s="1"/>
  <c r="G534" i="18"/>
  <c r="F534" i="18"/>
  <c r="E534" i="18"/>
  <c r="D534" i="18"/>
  <c r="C534" i="18"/>
  <c r="B534" i="18"/>
  <c r="H533" i="18"/>
  <c r="I533" i="18" s="1"/>
  <c r="G533" i="18"/>
  <c r="F533" i="18"/>
  <c r="E533" i="18"/>
  <c r="D533" i="18"/>
  <c r="C533" i="18"/>
  <c r="B533" i="18"/>
  <c r="H532" i="18"/>
  <c r="I532" i="18" s="1"/>
  <c r="G532" i="18"/>
  <c r="F532" i="18"/>
  <c r="E532" i="18"/>
  <c r="D532" i="18"/>
  <c r="C532" i="18"/>
  <c r="B532" i="18"/>
  <c r="H531" i="18"/>
  <c r="I531" i="18" s="1"/>
  <c r="G531" i="18"/>
  <c r="F531" i="18"/>
  <c r="E531" i="18"/>
  <c r="D531" i="18"/>
  <c r="C531" i="18"/>
  <c r="B531" i="18"/>
  <c r="H530" i="18"/>
  <c r="I530" i="18" s="1"/>
  <c r="G530" i="18"/>
  <c r="F530" i="18"/>
  <c r="E530" i="18"/>
  <c r="D530" i="18"/>
  <c r="C530" i="18"/>
  <c r="B530" i="18"/>
  <c r="H529" i="18"/>
  <c r="I529" i="18" s="1"/>
  <c r="G529" i="18"/>
  <c r="F529" i="18"/>
  <c r="E529" i="18"/>
  <c r="D529" i="18"/>
  <c r="C529" i="18"/>
  <c r="B529" i="18"/>
  <c r="H528" i="18"/>
  <c r="I528" i="18" s="1"/>
  <c r="G528" i="18"/>
  <c r="F528" i="18"/>
  <c r="E528" i="18"/>
  <c r="D528" i="18"/>
  <c r="C528" i="18"/>
  <c r="B528" i="18"/>
  <c r="H527" i="18"/>
  <c r="I527" i="18" s="1"/>
  <c r="G527" i="18"/>
  <c r="F527" i="18"/>
  <c r="E527" i="18"/>
  <c r="D527" i="18"/>
  <c r="C527" i="18"/>
  <c r="B527" i="18"/>
  <c r="H526" i="18"/>
  <c r="I526" i="18" s="1"/>
  <c r="G526" i="18"/>
  <c r="F526" i="18"/>
  <c r="E526" i="18"/>
  <c r="D526" i="18"/>
  <c r="C526" i="18"/>
  <c r="B526" i="18"/>
  <c r="H525" i="18"/>
  <c r="I525" i="18" s="1"/>
  <c r="G525" i="18"/>
  <c r="F525" i="18"/>
  <c r="E525" i="18"/>
  <c r="D525" i="18"/>
  <c r="C525" i="18"/>
  <c r="B525" i="18"/>
  <c r="H524" i="18"/>
  <c r="I524" i="18" s="1"/>
  <c r="G524" i="18"/>
  <c r="F524" i="18"/>
  <c r="E524" i="18"/>
  <c r="D524" i="18"/>
  <c r="C524" i="18"/>
  <c r="B524" i="18"/>
  <c r="H523" i="18"/>
  <c r="I523" i="18" s="1"/>
  <c r="G523" i="18"/>
  <c r="F523" i="18"/>
  <c r="E523" i="18"/>
  <c r="D523" i="18"/>
  <c r="C523" i="18"/>
  <c r="B523" i="18"/>
  <c r="H522" i="18"/>
  <c r="I522" i="18" s="1"/>
  <c r="G522" i="18"/>
  <c r="F522" i="18"/>
  <c r="E522" i="18"/>
  <c r="D522" i="18"/>
  <c r="C522" i="18"/>
  <c r="B522" i="18"/>
  <c r="H521" i="18"/>
  <c r="I521" i="18" s="1"/>
  <c r="G521" i="18"/>
  <c r="F521" i="18"/>
  <c r="E521" i="18"/>
  <c r="D521" i="18"/>
  <c r="C521" i="18"/>
  <c r="B521" i="18"/>
  <c r="H520" i="18"/>
  <c r="I520" i="18" s="1"/>
  <c r="G520" i="18"/>
  <c r="F520" i="18"/>
  <c r="E520" i="18"/>
  <c r="D520" i="18"/>
  <c r="C520" i="18"/>
  <c r="B520" i="18"/>
  <c r="H519" i="18"/>
  <c r="I519" i="18" s="1"/>
  <c r="G519" i="18"/>
  <c r="F519" i="18"/>
  <c r="E519" i="18"/>
  <c r="D519" i="18"/>
  <c r="C519" i="18"/>
  <c r="B519" i="18"/>
  <c r="H518" i="18"/>
  <c r="I518" i="18" s="1"/>
  <c r="G518" i="18"/>
  <c r="F518" i="18"/>
  <c r="E518" i="18"/>
  <c r="D518" i="18"/>
  <c r="C518" i="18"/>
  <c r="B518" i="18"/>
  <c r="H517" i="18"/>
  <c r="I517" i="18" s="1"/>
  <c r="G517" i="18"/>
  <c r="F517" i="18"/>
  <c r="E517" i="18"/>
  <c r="D517" i="18"/>
  <c r="C517" i="18"/>
  <c r="B517" i="18"/>
  <c r="H516" i="18"/>
  <c r="I516" i="18" s="1"/>
  <c r="G516" i="18"/>
  <c r="F516" i="18"/>
  <c r="E516" i="18"/>
  <c r="D516" i="18"/>
  <c r="C516" i="18"/>
  <c r="B516" i="18"/>
  <c r="H515" i="18"/>
  <c r="I515" i="18" s="1"/>
  <c r="G515" i="18"/>
  <c r="F515" i="18"/>
  <c r="E515" i="18"/>
  <c r="D515" i="18"/>
  <c r="C515" i="18"/>
  <c r="B515" i="18"/>
  <c r="H514" i="18"/>
  <c r="I514" i="18" s="1"/>
  <c r="G514" i="18"/>
  <c r="F514" i="18"/>
  <c r="E514" i="18"/>
  <c r="D514" i="18"/>
  <c r="C514" i="18"/>
  <c r="B514" i="18"/>
  <c r="H513" i="18"/>
  <c r="I513" i="18" s="1"/>
  <c r="G513" i="18"/>
  <c r="F513" i="18"/>
  <c r="E513" i="18"/>
  <c r="D513" i="18"/>
  <c r="C513" i="18"/>
  <c r="B513" i="18"/>
  <c r="H512" i="18"/>
  <c r="I512" i="18" s="1"/>
  <c r="G512" i="18"/>
  <c r="F512" i="18"/>
  <c r="E512" i="18"/>
  <c r="D512" i="18"/>
  <c r="C512" i="18"/>
  <c r="B512" i="18"/>
  <c r="H511" i="18"/>
  <c r="I511" i="18" s="1"/>
  <c r="G511" i="18"/>
  <c r="F511" i="18"/>
  <c r="E511" i="18"/>
  <c r="D511" i="18"/>
  <c r="C511" i="18"/>
  <c r="B511" i="18"/>
  <c r="H510" i="18"/>
  <c r="I510" i="18" s="1"/>
  <c r="G510" i="18"/>
  <c r="F510" i="18"/>
  <c r="E510" i="18"/>
  <c r="D510" i="18"/>
  <c r="C510" i="18"/>
  <c r="B510" i="18"/>
  <c r="H509" i="18"/>
  <c r="I509" i="18" s="1"/>
  <c r="G509" i="18"/>
  <c r="F509" i="18"/>
  <c r="E509" i="18"/>
  <c r="D509" i="18"/>
  <c r="C509" i="18"/>
  <c r="B509" i="18"/>
  <c r="H508" i="18"/>
  <c r="I508" i="18" s="1"/>
  <c r="G508" i="18"/>
  <c r="F508" i="18"/>
  <c r="E508" i="18"/>
  <c r="D508" i="18"/>
  <c r="C508" i="18"/>
  <c r="B508" i="18"/>
  <c r="H507" i="18"/>
  <c r="I507" i="18" s="1"/>
  <c r="G507" i="18"/>
  <c r="F507" i="18"/>
  <c r="E507" i="18"/>
  <c r="D507" i="18"/>
  <c r="C507" i="18"/>
  <c r="B507" i="18"/>
  <c r="H506" i="18"/>
  <c r="I506" i="18" s="1"/>
  <c r="G506" i="18"/>
  <c r="F506" i="18"/>
  <c r="E506" i="18"/>
  <c r="D506" i="18"/>
  <c r="C506" i="18"/>
  <c r="B506" i="18"/>
  <c r="H505" i="18"/>
  <c r="I505" i="18" s="1"/>
  <c r="G505" i="18"/>
  <c r="F505" i="18"/>
  <c r="E505" i="18"/>
  <c r="D505" i="18"/>
  <c r="C505" i="18"/>
  <c r="B505" i="18"/>
  <c r="H504" i="18"/>
  <c r="I504" i="18" s="1"/>
  <c r="G504" i="18"/>
  <c r="F504" i="18"/>
  <c r="E504" i="18"/>
  <c r="D504" i="18"/>
  <c r="C504" i="18"/>
  <c r="B504" i="18"/>
  <c r="H503" i="18"/>
  <c r="I503" i="18" s="1"/>
  <c r="G503" i="18"/>
  <c r="F503" i="18"/>
  <c r="E503" i="18"/>
  <c r="D503" i="18"/>
  <c r="C503" i="18"/>
  <c r="B503" i="18"/>
  <c r="H502" i="18"/>
  <c r="I502" i="18" s="1"/>
  <c r="G502" i="18"/>
  <c r="F502" i="18"/>
  <c r="E502" i="18"/>
  <c r="D502" i="18"/>
  <c r="C502" i="18"/>
  <c r="B502" i="18"/>
  <c r="H501" i="18"/>
  <c r="I501" i="18" s="1"/>
  <c r="G501" i="18"/>
  <c r="F501" i="18"/>
  <c r="E501" i="18"/>
  <c r="D501" i="18"/>
  <c r="C501" i="18"/>
  <c r="B501" i="18"/>
  <c r="H500" i="18"/>
  <c r="I500" i="18" s="1"/>
  <c r="G500" i="18"/>
  <c r="F500" i="18"/>
  <c r="E500" i="18"/>
  <c r="D500" i="18"/>
  <c r="C500" i="18"/>
  <c r="B500" i="18"/>
  <c r="H499" i="18"/>
  <c r="I499" i="18" s="1"/>
  <c r="G499" i="18"/>
  <c r="F499" i="18"/>
  <c r="E499" i="18"/>
  <c r="D499" i="18"/>
  <c r="C499" i="18"/>
  <c r="B499" i="18"/>
  <c r="H498" i="18"/>
  <c r="I498" i="18" s="1"/>
  <c r="G498" i="18"/>
  <c r="F498" i="18"/>
  <c r="E498" i="18"/>
  <c r="D498" i="18"/>
  <c r="C498" i="18"/>
  <c r="B498" i="18"/>
  <c r="H497" i="18"/>
  <c r="I497" i="18" s="1"/>
  <c r="G497" i="18"/>
  <c r="F497" i="18"/>
  <c r="E497" i="18"/>
  <c r="D497" i="18"/>
  <c r="C497" i="18"/>
  <c r="B497" i="18"/>
  <c r="H496" i="18"/>
  <c r="I496" i="18" s="1"/>
  <c r="G496" i="18"/>
  <c r="F496" i="18"/>
  <c r="E496" i="18"/>
  <c r="D496" i="18"/>
  <c r="C496" i="18"/>
  <c r="B496" i="18"/>
  <c r="H495" i="18"/>
  <c r="I495" i="18" s="1"/>
  <c r="G495" i="18"/>
  <c r="F495" i="18"/>
  <c r="E495" i="18"/>
  <c r="D495" i="18"/>
  <c r="C495" i="18"/>
  <c r="B495" i="18"/>
  <c r="H494" i="18"/>
  <c r="I494" i="18" s="1"/>
  <c r="G494" i="18"/>
  <c r="F494" i="18"/>
  <c r="E494" i="18"/>
  <c r="D494" i="18"/>
  <c r="C494" i="18"/>
  <c r="B494" i="18"/>
  <c r="H493" i="18"/>
  <c r="I493" i="18" s="1"/>
  <c r="G493" i="18"/>
  <c r="F493" i="18"/>
  <c r="E493" i="18"/>
  <c r="D493" i="18"/>
  <c r="C493" i="18"/>
  <c r="B493" i="18"/>
  <c r="H492" i="18"/>
  <c r="I492" i="18" s="1"/>
  <c r="G492" i="18"/>
  <c r="F492" i="18"/>
  <c r="E492" i="18"/>
  <c r="D492" i="18"/>
  <c r="C492" i="18"/>
  <c r="B492" i="18"/>
  <c r="H491" i="18"/>
  <c r="I491" i="18" s="1"/>
  <c r="G491" i="18"/>
  <c r="F491" i="18"/>
  <c r="E491" i="18"/>
  <c r="D491" i="18"/>
  <c r="C491" i="18"/>
  <c r="B491" i="18"/>
  <c r="H490" i="18"/>
  <c r="I490" i="18" s="1"/>
  <c r="G490" i="18"/>
  <c r="F490" i="18"/>
  <c r="E490" i="18"/>
  <c r="D490" i="18"/>
  <c r="C490" i="18"/>
  <c r="B490" i="18"/>
  <c r="H489" i="18"/>
  <c r="I489" i="18" s="1"/>
  <c r="G489" i="18"/>
  <c r="F489" i="18"/>
  <c r="E489" i="18"/>
  <c r="D489" i="18"/>
  <c r="C489" i="18"/>
  <c r="B489" i="18"/>
  <c r="H488" i="18"/>
  <c r="I488" i="18" s="1"/>
  <c r="G488" i="18"/>
  <c r="F488" i="18"/>
  <c r="E488" i="18"/>
  <c r="D488" i="18"/>
  <c r="C488" i="18"/>
  <c r="B488" i="18"/>
  <c r="H487" i="18"/>
  <c r="I487" i="18" s="1"/>
  <c r="G487" i="18"/>
  <c r="F487" i="18"/>
  <c r="E487" i="18"/>
  <c r="D487" i="18"/>
  <c r="C487" i="18"/>
  <c r="B487" i="18"/>
  <c r="H486" i="18"/>
  <c r="I486" i="18" s="1"/>
  <c r="G486" i="18"/>
  <c r="F486" i="18"/>
  <c r="E486" i="18"/>
  <c r="D486" i="18"/>
  <c r="C486" i="18"/>
  <c r="B486" i="18"/>
  <c r="H485" i="18"/>
  <c r="I485" i="18" s="1"/>
  <c r="G485" i="18"/>
  <c r="F485" i="18"/>
  <c r="E485" i="18"/>
  <c r="D485" i="18"/>
  <c r="C485" i="18"/>
  <c r="B485" i="18"/>
  <c r="H484" i="18"/>
  <c r="I484" i="18" s="1"/>
  <c r="G484" i="18"/>
  <c r="F484" i="18"/>
  <c r="E484" i="18"/>
  <c r="D484" i="18"/>
  <c r="C484" i="18"/>
  <c r="B484" i="18"/>
  <c r="H483" i="18"/>
  <c r="I483" i="18" s="1"/>
  <c r="G483" i="18"/>
  <c r="F483" i="18"/>
  <c r="E483" i="18"/>
  <c r="D483" i="18"/>
  <c r="C483" i="18"/>
  <c r="B483" i="18"/>
  <c r="H482" i="18"/>
  <c r="I482" i="18" s="1"/>
  <c r="G482" i="18"/>
  <c r="F482" i="18"/>
  <c r="E482" i="18"/>
  <c r="D482" i="18"/>
  <c r="C482" i="18"/>
  <c r="B482" i="18"/>
  <c r="H481" i="18"/>
  <c r="I481" i="18" s="1"/>
  <c r="G481" i="18"/>
  <c r="F481" i="18"/>
  <c r="E481" i="18"/>
  <c r="D481" i="18"/>
  <c r="C481" i="18"/>
  <c r="B481" i="18"/>
  <c r="H480" i="18"/>
  <c r="I480" i="18" s="1"/>
  <c r="G480" i="18"/>
  <c r="F480" i="18"/>
  <c r="E480" i="18"/>
  <c r="D480" i="18"/>
  <c r="C480" i="18"/>
  <c r="B480" i="18"/>
  <c r="H479" i="18"/>
  <c r="I479" i="18" s="1"/>
  <c r="G479" i="18"/>
  <c r="F479" i="18"/>
  <c r="E479" i="18"/>
  <c r="D479" i="18"/>
  <c r="C479" i="18"/>
  <c r="B479" i="18"/>
  <c r="H478" i="18"/>
  <c r="I478" i="18" s="1"/>
  <c r="G478" i="18"/>
  <c r="F478" i="18"/>
  <c r="E478" i="18"/>
  <c r="D478" i="18"/>
  <c r="C478" i="18"/>
  <c r="B478" i="18"/>
  <c r="H477" i="18"/>
  <c r="I477" i="18" s="1"/>
  <c r="G477" i="18"/>
  <c r="F477" i="18"/>
  <c r="E477" i="18"/>
  <c r="D477" i="18"/>
  <c r="C477" i="18"/>
  <c r="B477" i="18"/>
  <c r="H476" i="18"/>
  <c r="I476" i="18" s="1"/>
  <c r="G476" i="18"/>
  <c r="F476" i="18"/>
  <c r="E476" i="18"/>
  <c r="D476" i="18"/>
  <c r="C476" i="18"/>
  <c r="B476" i="18"/>
  <c r="H475" i="18"/>
  <c r="I475" i="18" s="1"/>
  <c r="G475" i="18"/>
  <c r="F475" i="18"/>
  <c r="E475" i="18"/>
  <c r="D475" i="18"/>
  <c r="C475" i="18"/>
  <c r="B475" i="18"/>
  <c r="H474" i="18"/>
  <c r="I474" i="18" s="1"/>
  <c r="G474" i="18"/>
  <c r="F474" i="18"/>
  <c r="E474" i="18"/>
  <c r="D474" i="18"/>
  <c r="C474" i="18"/>
  <c r="B474" i="18"/>
  <c r="H473" i="18"/>
  <c r="I473" i="18" s="1"/>
  <c r="G473" i="18"/>
  <c r="F473" i="18"/>
  <c r="E473" i="18"/>
  <c r="D473" i="18"/>
  <c r="C473" i="18"/>
  <c r="B473" i="18"/>
  <c r="H472" i="18"/>
  <c r="I472" i="18" s="1"/>
  <c r="G472" i="18"/>
  <c r="F472" i="18"/>
  <c r="E472" i="18"/>
  <c r="D472" i="18"/>
  <c r="C472" i="18"/>
  <c r="B472" i="18"/>
  <c r="H471" i="18"/>
  <c r="I471" i="18" s="1"/>
  <c r="G471" i="18"/>
  <c r="F471" i="18"/>
  <c r="E471" i="18"/>
  <c r="D471" i="18"/>
  <c r="C471" i="18"/>
  <c r="B471" i="18"/>
  <c r="H470" i="18"/>
  <c r="I470" i="18" s="1"/>
  <c r="G470" i="18"/>
  <c r="F470" i="18"/>
  <c r="E470" i="18"/>
  <c r="D470" i="18"/>
  <c r="C470" i="18"/>
  <c r="B470" i="18"/>
  <c r="H469" i="18"/>
  <c r="I469" i="18" s="1"/>
  <c r="G469" i="18"/>
  <c r="F469" i="18"/>
  <c r="E469" i="18"/>
  <c r="D469" i="18"/>
  <c r="C469" i="18"/>
  <c r="B469" i="18"/>
  <c r="H468" i="18"/>
  <c r="I468" i="18" s="1"/>
  <c r="G468" i="18"/>
  <c r="F468" i="18"/>
  <c r="E468" i="18"/>
  <c r="D468" i="18"/>
  <c r="C468" i="18"/>
  <c r="B468" i="18"/>
  <c r="H467" i="18"/>
  <c r="I467" i="18" s="1"/>
  <c r="G467" i="18"/>
  <c r="F467" i="18"/>
  <c r="E467" i="18"/>
  <c r="D467" i="18"/>
  <c r="C467" i="18"/>
  <c r="B467" i="18"/>
  <c r="H466" i="18"/>
  <c r="I466" i="18" s="1"/>
  <c r="G466" i="18"/>
  <c r="F466" i="18"/>
  <c r="E466" i="18"/>
  <c r="D466" i="18"/>
  <c r="C466" i="18"/>
  <c r="B466" i="18"/>
  <c r="H465" i="18"/>
  <c r="I465" i="18" s="1"/>
  <c r="G465" i="18"/>
  <c r="F465" i="18"/>
  <c r="E465" i="18"/>
  <c r="D465" i="18"/>
  <c r="C465" i="18"/>
  <c r="B465" i="18"/>
  <c r="H464" i="18"/>
  <c r="I464" i="18" s="1"/>
  <c r="G464" i="18"/>
  <c r="F464" i="18"/>
  <c r="E464" i="18"/>
  <c r="D464" i="18"/>
  <c r="C464" i="18"/>
  <c r="B464" i="18"/>
  <c r="H463" i="18"/>
  <c r="I463" i="18" s="1"/>
  <c r="G463" i="18"/>
  <c r="F463" i="18"/>
  <c r="E463" i="18"/>
  <c r="D463" i="18"/>
  <c r="C463" i="18"/>
  <c r="B463" i="18"/>
  <c r="H462" i="18"/>
  <c r="I462" i="18" s="1"/>
  <c r="G462" i="18"/>
  <c r="F462" i="18"/>
  <c r="E462" i="18"/>
  <c r="D462" i="18"/>
  <c r="C462" i="18"/>
  <c r="B462" i="18"/>
  <c r="H461" i="18"/>
  <c r="I461" i="18" s="1"/>
  <c r="G461" i="18"/>
  <c r="F461" i="18"/>
  <c r="E461" i="18"/>
  <c r="D461" i="18"/>
  <c r="C461" i="18"/>
  <c r="B461" i="18"/>
  <c r="H460" i="18"/>
  <c r="I460" i="18" s="1"/>
  <c r="G460" i="18"/>
  <c r="F460" i="18"/>
  <c r="E460" i="18"/>
  <c r="D460" i="18"/>
  <c r="C460" i="18"/>
  <c r="B460" i="18"/>
  <c r="H459" i="18"/>
  <c r="I459" i="18" s="1"/>
  <c r="G459" i="18"/>
  <c r="F459" i="18"/>
  <c r="E459" i="18"/>
  <c r="D459" i="18"/>
  <c r="C459" i="18"/>
  <c r="B459" i="18"/>
  <c r="H458" i="18"/>
  <c r="I458" i="18" s="1"/>
  <c r="G458" i="18"/>
  <c r="F458" i="18"/>
  <c r="E458" i="18"/>
  <c r="D458" i="18"/>
  <c r="C458" i="18"/>
  <c r="B458" i="18"/>
  <c r="H457" i="18"/>
  <c r="I457" i="18" s="1"/>
  <c r="G457" i="18"/>
  <c r="F457" i="18"/>
  <c r="E457" i="18"/>
  <c r="D457" i="18"/>
  <c r="C457" i="18"/>
  <c r="B457" i="18"/>
  <c r="H456" i="18"/>
  <c r="I456" i="18" s="1"/>
  <c r="G456" i="18"/>
  <c r="F456" i="18"/>
  <c r="E456" i="18"/>
  <c r="D456" i="18"/>
  <c r="C456" i="18"/>
  <c r="B456" i="18"/>
  <c r="H455" i="18"/>
  <c r="I455" i="18" s="1"/>
  <c r="G455" i="18"/>
  <c r="F455" i="18"/>
  <c r="E455" i="18"/>
  <c r="D455" i="18"/>
  <c r="C455" i="18"/>
  <c r="B455" i="18"/>
  <c r="H454" i="18"/>
  <c r="I454" i="18" s="1"/>
  <c r="G454" i="18"/>
  <c r="F454" i="18"/>
  <c r="E454" i="18"/>
  <c r="D454" i="18"/>
  <c r="C454" i="18"/>
  <c r="B454" i="18"/>
  <c r="H453" i="18"/>
  <c r="I453" i="18" s="1"/>
  <c r="G453" i="18"/>
  <c r="F453" i="18"/>
  <c r="E453" i="18"/>
  <c r="D453" i="18"/>
  <c r="C453" i="18"/>
  <c r="B453" i="18"/>
  <c r="H452" i="18"/>
  <c r="I452" i="18" s="1"/>
  <c r="G452" i="18"/>
  <c r="F452" i="18"/>
  <c r="E452" i="18"/>
  <c r="D452" i="18"/>
  <c r="C452" i="18"/>
  <c r="B452" i="18"/>
  <c r="H451" i="18"/>
  <c r="I451" i="18" s="1"/>
  <c r="G451" i="18"/>
  <c r="F451" i="18"/>
  <c r="E451" i="18"/>
  <c r="D451" i="18"/>
  <c r="C451" i="18"/>
  <c r="B451" i="18"/>
  <c r="H450" i="18"/>
  <c r="I450" i="18" s="1"/>
  <c r="G450" i="18"/>
  <c r="F450" i="18"/>
  <c r="E450" i="18"/>
  <c r="D450" i="18"/>
  <c r="C450" i="18"/>
  <c r="B450" i="18"/>
  <c r="H449" i="18"/>
  <c r="I449" i="18" s="1"/>
  <c r="G449" i="18"/>
  <c r="F449" i="18"/>
  <c r="E449" i="18"/>
  <c r="D449" i="18"/>
  <c r="C449" i="18"/>
  <c r="B449" i="18"/>
  <c r="H448" i="18"/>
  <c r="I448" i="18" s="1"/>
  <c r="G448" i="18"/>
  <c r="F448" i="18"/>
  <c r="E448" i="18"/>
  <c r="D448" i="18"/>
  <c r="C448" i="18"/>
  <c r="B448" i="18"/>
  <c r="H447" i="18"/>
  <c r="I447" i="18" s="1"/>
  <c r="G447" i="18"/>
  <c r="F447" i="18"/>
  <c r="E447" i="18"/>
  <c r="D447" i="18"/>
  <c r="C447" i="18"/>
  <c r="B447" i="18"/>
  <c r="H446" i="18"/>
  <c r="I446" i="18" s="1"/>
  <c r="G446" i="18"/>
  <c r="F446" i="18"/>
  <c r="E446" i="18"/>
  <c r="D446" i="18"/>
  <c r="C446" i="18"/>
  <c r="B446" i="18"/>
  <c r="H445" i="18"/>
  <c r="I445" i="18" s="1"/>
  <c r="G445" i="18"/>
  <c r="F445" i="18"/>
  <c r="E445" i="18"/>
  <c r="D445" i="18"/>
  <c r="C445" i="18"/>
  <c r="B445" i="18"/>
  <c r="H444" i="18"/>
  <c r="I444" i="18" s="1"/>
  <c r="G444" i="18"/>
  <c r="F444" i="18"/>
  <c r="E444" i="18"/>
  <c r="D444" i="18"/>
  <c r="C444" i="18"/>
  <c r="B444" i="18"/>
  <c r="H443" i="18"/>
  <c r="I443" i="18" s="1"/>
  <c r="G443" i="18"/>
  <c r="F443" i="18"/>
  <c r="E443" i="18"/>
  <c r="D443" i="18"/>
  <c r="C443" i="18"/>
  <c r="B443" i="18"/>
  <c r="H442" i="18"/>
  <c r="I442" i="18" s="1"/>
  <c r="G442" i="18"/>
  <c r="F442" i="18"/>
  <c r="E442" i="18"/>
  <c r="D442" i="18"/>
  <c r="C442" i="18"/>
  <c r="B442" i="18"/>
  <c r="H441" i="18"/>
  <c r="I441" i="18" s="1"/>
  <c r="G441" i="18"/>
  <c r="F441" i="18"/>
  <c r="E441" i="18"/>
  <c r="D441" i="18"/>
  <c r="C441" i="18"/>
  <c r="B441" i="18"/>
  <c r="H440" i="18"/>
  <c r="I440" i="18" s="1"/>
  <c r="G440" i="18"/>
  <c r="F440" i="18"/>
  <c r="E440" i="18"/>
  <c r="D440" i="18"/>
  <c r="C440" i="18"/>
  <c r="B440" i="18"/>
  <c r="H439" i="18"/>
  <c r="I439" i="18" s="1"/>
  <c r="G439" i="18"/>
  <c r="F439" i="18"/>
  <c r="E439" i="18"/>
  <c r="D439" i="18"/>
  <c r="C439" i="18"/>
  <c r="B439" i="18"/>
  <c r="H438" i="18"/>
  <c r="I438" i="18" s="1"/>
  <c r="G438" i="18"/>
  <c r="F438" i="18"/>
  <c r="E438" i="18"/>
  <c r="D438" i="18"/>
  <c r="C438" i="18"/>
  <c r="B438" i="18"/>
  <c r="H437" i="18"/>
  <c r="I437" i="18" s="1"/>
  <c r="G437" i="18"/>
  <c r="F437" i="18"/>
  <c r="E437" i="18"/>
  <c r="D437" i="18"/>
  <c r="C437" i="18"/>
  <c r="B437" i="18"/>
  <c r="H436" i="18"/>
  <c r="I436" i="18" s="1"/>
  <c r="G436" i="18"/>
  <c r="F436" i="18"/>
  <c r="E436" i="18"/>
  <c r="D436" i="18"/>
  <c r="C436" i="18"/>
  <c r="B436" i="18"/>
  <c r="H435" i="18"/>
  <c r="I435" i="18" s="1"/>
  <c r="G435" i="18"/>
  <c r="F435" i="18"/>
  <c r="E435" i="18"/>
  <c r="D435" i="18"/>
  <c r="C435" i="18"/>
  <c r="B435" i="18"/>
  <c r="H434" i="18"/>
  <c r="I434" i="18" s="1"/>
  <c r="G434" i="18"/>
  <c r="F434" i="18"/>
  <c r="E434" i="18"/>
  <c r="D434" i="18"/>
  <c r="C434" i="18"/>
  <c r="B434" i="18"/>
  <c r="H433" i="18"/>
  <c r="I433" i="18" s="1"/>
  <c r="G433" i="18"/>
  <c r="F433" i="18"/>
  <c r="E433" i="18"/>
  <c r="D433" i="18"/>
  <c r="C433" i="18"/>
  <c r="B433" i="18"/>
  <c r="H432" i="18"/>
  <c r="I432" i="18" s="1"/>
  <c r="G432" i="18"/>
  <c r="F432" i="18"/>
  <c r="E432" i="18"/>
  <c r="D432" i="18"/>
  <c r="C432" i="18"/>
  <c r="B432" i="18"/>
  <c r="H431" i="18"/>
  <c r="I431" i="18" s="1"/>
  <c r="G431" i="18"/>
  <c r="F431" i="18"/>
  <c r="E431" i="18"/>
  <c r="D431" i="18"/>
  <c r="C431" i="18"/>
  <c r="B431" i="18"/>
  <c r="H430" i="18"/>
  <c r="I430" i="18" s="1"/>
  <c r="G430" i="18"/>
  <c r="F430" i="18"/>
  <c r="E430" i="18"/>
  <c r="D430" i="18"/>
  <c r="C430" i="18"/>
  <c r="B430" i="18"/>
  <c r="H429" i="18"/>
  <c r="I429" i="18" s="1"/>
  <c r="G429" i="18"/>
  <c r="F429" i="18"/>
  <c r="E429" i="18"/>
  <c r="D429" i="18"/>
  <c r="C429" i="18"/>
  <c r="B429" i="18"/>
  <c r="H428" i="18"/>
  <c r="I428" i="18" s="1"/>
  <c r="G428" i="18"/>
  <c r="F428" i="18"/>
  <c r="E428" i="18"/>
  <c r="D428" i="18"/>
  <c r="C428" i="18"/>
  <c r="B428" i="18"/>
  <c r="H427" i="18"/>
  <c r="I427" i="18" s="1"/>
  <c r="G427" i="18"/>
  <c r="F427" i="18"/>
  <c r="E427" i="18"/>
  <c r="D427" i="18"/>
  <c r="C427" i="18"/>
  <c r="B427" i="18"/>
  <c r="H426" i="18"/>
  <c r="I426" i="18" s="1"/>
  <c r="G426" i="18"/>
  <c r="F426" i="18"/>
  <c r="E426" i="18"/>
  <c r="D426" i="18"/>
  <c r="C426" i="18"/>
  <c r="B426" i="18"/>
  <c r="H425" i="18"/>
  <c r="I425" i="18" s="1"/>
  <c r="G425" i="18"/>
  <c r="F425" i="18"/>
  <c r="E425" i="18"/>
  <c r="D425" i="18"/>
  <c r="C425" i="18"/>
  <c r="B425" i="18"/>
  <c r="H424" i="18"/>
  <c r="I424" i="18" s="1"/>
  <c r="G424" i="18"/>
  <c r="F424" i="18"/>
  <c r="E424" i="18"/>
  <c r="D424" i="18"/>
  <c r="C424" i="18"/>
  <c r="B424" i="18"/>
  <c r="H423" i="18"/>
  <c r="I423" i="18" s="1"/>
  <c r="G423" i="18"/>
  <c r="F423" i="18"/>
  <c r="E423" i="18"/>
  <c r="D423" i="18"/>
  <c r="C423" i="18"/>
  <c r="B423" i="18"/>
  <c r="H422" i="18"/>
  <c r="I422" i="18" s="1"/>
  <c r="G422" i="18"/>
  <c r="F422" i="18"/>
  <c r="E422" i="18"/>
  <c r="D422" i="18"/>
  <c r="C422" i="18"/>
  <c r="B422" i="18"/>
  <c r="H421" i="18"/>
  <c r="I421" i="18" s="1"/>
  <c r="G421" i="18"/>
  <c r="F421" i="18"/>
  <c r="E421" i="18"/>
  <c r="D421" i="18"/>
  <c r="C421" i="18"/>
  <c r="B421" i="18"/>
  <c r="H420" i="18"/>
  <c r="I420" i="18" s="1"/>
  <c r="G420" i="18"/>
  <c r="F420" i="18"/>
  <c r="E420" i="18"/>
  <c r="D420" i="18"/>
  <c r="C420" i="18"/>
  <c r="B420" i="18"/>
  <c r="H419" i="18"/>
  <c r="I419" i="18" s="1"/>
  <c r="G419" i="18"/>
  <c r="F419" i="18"/>
  <c r="E419" i="18"/>
  <c r="D419" i="18"/>
  <c r="C419" i="18"/>
  <c r="B419" i="18"/>
  <c r="H418" i="18"/>
  <c r="I418" i="18" s="1"/>
  <c r="G418" i="18"/>
  <c r="F418" i="18"/>
  <c r="E418" i="18"/>
  <c r="D418" i="18"/>
  <c r="C418" i="18"/>
  <c r="B418" i="18"/>
  <c r="H417" i="18"/>
  <c r="I417" i="18" s="1"/>
  <c r="G417" i="18"/>
  <c r="F417" i="18"/>
  <c r="E417" i="18"/>
  <c r="D417" i="18"/>
  <c r="C417" i="18"/>
  <c r="B417" i="18"/>
  <c r="H416" i="18"/>
  <c r="I416" i="18" s="1"/>
  <c r="G416" i="18"/>
  <c r="F416" i="18"/>
  <c r="E416" i="18"/>
  <c r="D416" i="18"/>
  <c r="C416" i="18"/>
  <c r="B416" i="18"/>
  <c r="H415" i="18"/>
  <c r="I415" i="18" s="1"/>
  <c r="G415" i="18"/>
  <c r="F415" i="18"/>
  <c r="E415" i="18"/>
  <c r="D415" i="18"/>
  <c r="C415" i="18"/>
  <c r="B415" i="18"/>
  <c r="H414" i="18"/>
  <c r="I414" i="18" s="1"/>
  <c r="G414" i="18"/>
  <c r="F414" i="18"/>
  <c r="E414" i="18"/>
  <c r="D414" i="18"/>
  <c r="C414" i="18"/>
  <c r="B414" i="18"/>
  <c r="H413" i="18"/>
  <c r="I413" i="18" s="1"/>
  <c r="G413" i="18"/>
  <c r="F413" i="18"/>
  <c r="E413" i="18"/>
  <c r="D413" i="18"/>
  <c r="C413" i="18"/>
  <c r="B413" i="18"/>
  <c r="H412" i="18"/>
  <c r="I412" i="18" s="1"/>
  <c r="G412" i="18"/>
  <c r="F412" i="18"/>
  <c r="E412" i="18"/>
  <c r="D412" i="18"/>
  <c r="C412" i="18"/>
  <c r="B412" i="18"/>
  <c r="H411" i="18"/>
  <c r="I411" i="18" s="1"/>
  <c r="G411" i="18"/>
  <c r="F411" i="18"/>
  <c r="E411" i="18"/>
  <c r="D411" i="18"/>
  <c r="C411" i="18"/>
  <c r="B411" i="18"/>
  <c r="H410" i="18"/>
  <c r="I410" i="18" s="1"/>
  <c r="G410" i="18"/>
  <c r="F410" i="18"/>
  <c r="E410" i="18"/>
  <c r="D410" i="18"/>
  <c r="C410" i="18"/>
  <c r="B410" i="18"/>
  <c r="H409" i="18"/>
  <c r="I409" i="18" s="1"/>
  <c r="G409" i="18"/>
  <c r="F409" i="18"/>
  <c r="E409" i="18"/>
  <c r="D409" i="18"/>
  <c r="C409" i="18"/>
  <c r="B409" i="18"/>
  <c r="H408" i="18"/>
  <c r="I408" i="18" s="1"/>
  <c r="G408" i="18"/>
  <c r="F408" i="18"/>
  <c r="E408" i="18"/>
  <c r="D408" i="18"/>
  <c r="C408" i="18"/>
  <c r="B408" i="18"/>
  <c r="H407" i="18"/>
  <c r="I407" i="18" s="1"/>
  <c r="G407" i="18"/>
  <c r="F407" i="18"/>
  <c r="E407" i="18"/>
  <c r="D407" i="18"/>
  <c r="C407" i="18"/>
  <c r="B407" i="18"/>
  <c r="H406" i="18"/>
  <c r="I406" i="18" s="1"/>
  <c r="G406" i="18"/>
  <c r="F406" i="18"/>
  <c r="E406" i="18"/>
  <c r="D406" i="18"/>
  <c r="C406" i="18"/>
  <c r="B406" i="18"/>
  <c r="H405" i="18"/>
  <c r="I405" i="18" s="1"/>
  <c r="G405" i="18"/>
  <c r="F405" i="18"/>
  <c r="E405" i="18"/>
  <c r="D405" i="18"/>
  <c r="C405" i="18"/>
  <c r="B405" i="18"/>
  <c r="H404" i="18"/>
  <c r="I404" i="18" s="1"/>
  <c r="G404" i="18"/>
  <c r="F404" i="18"/>
  <c r="E404" i="18"/>
  <c r="D404" i="18"/>
  <c r="C404" i="18"/>
  <c r="B404" i="18"/>
  <c r="H403" i="18"/>
  <c r="I403" i="18" s="1"/>
  <c r="G403" i="18"/>
  <c r="F403" i="18"/>
  <c r="E403" i="18"/>
  <c r="D403" i="18"/>
  <c r="C403" i="18"/>
  <c r="B403" i="18"/>
  <c r="H402" i="18"/>
  <c r="I402" i="18" s="1"/>
  <c r="G402" i="18"/>
  <c r="F402" i="18"/>
  <c r="E402" i="18"/>
  <c r="D402" i="18"/>
  <c r="C402" i="18"/>
  <c r="B402" i="18"/>
  <c r="H401" i="18"/>
  <c r="I401" i="18" s="1"/>
  <c r="G401" i="18"/>
  <c r="F401" i="18"/>
  <c r="E401" i="18"/>
  <c r="D401" i="18"/>
  <c r="C401" i="18"/>
  <c r="B401" i="18"/>
  <c r="H400" i="18"/>
  <c r="I400" i="18" s="1"/>
  <c r="G400" i="18"/>
  <c r="F400" i="18"/>
  <c r="E400" i="18"/>
  <c r="D400" i="18"/>
  <c r="C400" i="18"/>
  <c r="B400" i="18"/>
  <c r="H399" i="18"/>
  <c r="I399" i="18" s="1"/>
  <c r="G399" i="18"/>
  <c r="F399" i="18"/>
  <c r="E399" i="18"/>
  <c r="D399" i="18"/>
  <c r="C399" i="18"/>
  <c r="B399" i="18"/>
  <c r="H398" i="18"/>
  <c r="I398" i="18" s="1"/>
  <c r="G398" i="18"/>
  <c r="F398" i="18"/>
  <c r="E398" i="18"/>
  <c r="D398" i="18"/>
  <c r="C398" i="18"/>
  <c r="B398" i="18"/>
  <c r="H397" i="18"/>
  <c r="I397" i="18" s="1"/>
  <c r="G397" i="18"/>
  <c r="F397" i="18"/>
  <c r="E397" i="18"/>
  <c r="D397" i="18"/>
  <c r="C397" i="18"/>
  <c r="B397" i="18"/>
  <c r="H396" i="18"/>
  <c r="I396" i="18" s="1"/>
  <c r="G396" i="18"/>
  <c r="F396" i="18"/>
  <c r="E396" i="18"/>
  <c r="D396" i="18"/>
  <c r="C396" i="18"/>
  <c r="B396" i="18"/>
  <c r="H395" i="18"/>
  <c r="I395" i="18" s="1"/>
  <c r="G395" i="18"/>
  <c r="F395" i="18"/>
  <c r="E395" i="18"/>
  <c r="D395" i="18"/>
  <c r="C395" i="18"/>
  <c r="B395" i="18"/>
  <c r="H394" i="18"/>
  <c r="I394" i="18" s="1"/>
  <c r="G394" i="18"/>
  <c r="F394" i="18"/>
  <c r="E394" i="18"/>
  <c r="D394" i="18"/>
  <c r="C394" i="18"/>
  <c r="B394" i="18"/>
  <c r="H393" i="18"/>
  <c r="I393" i="18" s="1"/>
  <c r="G393" i="18"/>
  <c r="F393" i="18"/>
  <c r="E393" i="18"/>
  <c r="D393" i="18"/>
  <c r="C393" i="18"/>
  <c r="B393" i="18"/>
  <c r="H392" i="18"/>
  <c r="I392" i="18" s="1"/>
  <c r="G392" i="18"/>
  <c r="F392" i="18"/>
  <c r="E392" i="18"/>
  <c r="D392" i="18"/>
  <c r="C392" i="18"/>
  <c r="B392" i="18"/>
  <c r="H391" i="18"/>
  <c r="I391" i="18" s="1"/>
  <c r="G391" i="18"/>
  <c r="F391" i="18"/>
  <c r="E391" i="18"/>
  <c r="D391" i="18"/>
  <c r="C391" i="18"/>
  <c r="B391" i="18"/>
  <c r="H390" i="18"/>
  <c r="I390" i="18" s="1"/>
  <c r="G390" i="18"/>
  <c r="F390" i="18"/>
  <c r="E390" i="18"/>
  <c r="D390" i="18"/>
  <c r="C390" i="18"/>
  <c r="B390" i="18"/>
  <c r="H389" i="18"/>
  <c r="I389" i="18" s="1"/>
  <c r="G389" i="18"/>
  <c r="F389" i="18"/>
  <c r="E389" i="18"/>
  <c r="D389" i="18"/>
  <c r="C389" i="18"/>
  <c r="B389" i="18"/>
  <c r="H388" i="18"/>
  <c r="I388" i="18" s="1"/>
  <c r="G388" i="18"/>
  <c r="F388" i="18"/>
  <c r="E388" i="18"/>
  <c r="D388" i="18"/>
  <c r="C388" i="18"/>
  <c r="B388" i="18"/>
  <c r="H387" i="18"/>
  <c r="I387" i="18" s="1"/>
  <c r="G387" i="18"/>
  <c r="F387" i="18"/>
  <c r="E387" i="18"/>
  <c r="D387" i="18"/>
  <c r="C387" i="18"/>
  <c r="B387" i="18"/>
  <c r="H386" i="18"/>
  <c r="I386" i="18" s="1"/>
  <c r="G386" i="18"/>
  <c r="F386" i="18"/>
  <c r="E386" i="18"/>
  <c r="D386" i="18"/>
  <c r="C386" i="18"/>
  <c r="B386" i="18"/>
  <c r="H385" i="18"/>
  <c r="I385" i="18" s="1"/>
  <c r="G385" i="18"/>
  <c r="F385" i="18"/>
  <c r="E385" i="18"/>
  <c r="D385" i="18"/>
  <c r="C385" i="18"/>
  <c r="B385" i="18"/>
  <c r="H384" i="18"/>
  <c r="I384" i="18" s="1"/>
  <c r="G384" i="18"/>
  <c r="F384" i="18"/>
  <c r="E384" i="18"/>
  <c r="D384" i="18"/>
  <c r="C384" i="18"/>
  <c r="B384" i="18"/>
  <c r="H383" i="18"/>
  <c r="I383" i="18" s="1"/>
  <c r="G383" i="18"/>
  <c r="F383" i="18"/>
  <c r="E383" i="18"/>
  <c r="D383" i="18"/>
  <c r="C383" i="18"/>
  <c r="B383" i="18"/>
  <c r="H382" i="18"/>
  <c r="I382" i="18" s="1"/>
  <c r="G382" i="18"/>
  <c r="F382" i="18"/>
  <c r="E382" i="18"/>
  <c r="D382" i="18"/>
  <c r="C382" i="18"/>
  <c r="B382" i="18"/>
  <c r="H381" i="18"/>
  <c r="I381" i="18" s="1"/>
  <c r="G381" i="18"/>
  <c r="F381" i="18"/>
  <c r="E381" i="18"/>
  <c r="D381" i="18"/>
  <c r="C381" i="18"/>
  <c r="B381" i="18"/>
  <c r="H380" i="18"/>
  <c r="I380" i="18" s="1"/>
  <c r="G380" i="18"/>
  <c r="F380" i="18"/>
  <c r="E380" i="18"/>
  <c r="D380" i="18"/>
  <c r="C380" i="18"/>
  <c r="B380" i="18"/>
  <c r="H379" i="18"/>
  <c r="I379" i="18" s="1"/>
  <c r="G379" i="18"/>
  <c r="F379" i="18"/>
  <c r="E379" i="18"/>
  <c r="D379" i="18"/>
  <c r="C379" i="18"/>
  <c r="B379" i="18"/>
  <c r="H378" i="18"/>
  <c r="I378" i="18" s="1"/>
  <c r="G378" i="18"/>
  <c r="F378" i="18"/>
  <c r="E378" i="18"/>
  <c r="D378" i="18"/>
  <c r="C378" i="18"/>
  <c r="B378" i="18"/>
  <c r="H377" i="18"/>
  <c r="I377" i="18" s="1"/>
  <c r="G377" i="18"/>
  <c r="F377" i="18"/>
  <c r="E377" i="18"/>
  <c r="D377" i="18"/>
  <c r="C377" i="18"/>
  <c r="B377" i="18"/>
  <c r="H376" i="18"/>
  <c r="I376" i="18" s="1"/>
  <c r="G376" i="18"/>
  <c r="F376" i="18"/>
  <c r="E376" i="18"/>
  <c r="D376" i="18"/>
  <c r="C376" i="18"/>
  <c r="B376" i="18"/>
  <c r="H375" i="18"/>
  <c r="I375" i="18" s="1"/>
  <c r="G375" i="18"/>
  <c r="F375" i="18"/>
  <c r="E375" i="18"/>
  <c r="D375" i="18"/>
  <c r="C375" i="18"/>
  <c r="B375" i="18"/>
  <c r="H374" i="18"/>
  <c r="G374" i="18"/>
  <c r="F374" i="18"/>
  <c r="E374" i="18"/>
  <c r="D374" i="18"/>
  <c r="C374" i="18"/>
  <c r="B374" i="18"/>
  <c r="H373" i="18"/>
  <c r="I373" i="18" s="1"/>
  <c r="G373" i="18"/>
  <c r="F373" i="18"/>
  <c r="E373" i="18"/>
  <c r="D373" i="18"/>
  <c r="C373" i="18"/>
  <c r="B373" i="18"/>
  <c r="H372" i="18"/>
  <c r="I372" i="18" s="1"/>
  <c r="G372" i="18"/>
  <c r="F372" i="18"/>
  <c r="E372" i="18"/>
  <c r="D372" i="18"/>
  <c r="C372" i="18"/>
  <c r="B372" i="18"/>
  <c r="H371" i="18"/>
  <c r="I371" i="18" s="1"/>
  <c r="G371" i="18"/>
  <c r="F371" i="18"/>
  <c r="E371" i="18"/>
  <c r="D371" i="18"/>
  <c r="C371" i="18"/>
  <c r="B371" i="18"/>
  <c r="H370" i="18"/>
  <c r="I370" i="18" s="1"/>
  <c r="G370" i="18"/>
  <c r="F370" i="18"/>
  <c r="E370" i="18"/>
  <c r="D370" i="18"/>
  <c r="C370" i="18"/>
  <c r="B370" i="18"/>
  <c r="H369" i="18"/>
  <c r="I369" i="18" s="1"/>
  <c r="G369" i="18"/>
  <c r="F369" i="18"/>
  <c r="E369" i="18"/>
  <c r="D369" i="18"/>
  <c r="C369" i="18"/>
  <c r="B369" i="18"/>
  <c r="H368" i="18"/>
  <c r="I368" i="18" s="1"/>
  <c r="G368" i="18"/>
  <c r="F368" i="18"/>
  <c r="E368" i="18"/>
  <c r="D368" i="18"/>
  <c r="C368" i="18"/>
  <c r="B368" i="18"/>
  <c r="H367" i="18"/>
  <c r="I367" i="18" s="1"/>
  <c r="G367" i="18"/>
  <c r="F367" i="18"/>
  <c r="E367" i="18"/>
  <c r="D367" i="18"/>
  <c r="C367" i="18"/>
  <c r="B367" i="18"/>
  <c r="H366" i="18"/>
  <c r="I366" i="18" s="1"/>
  <c r="G366" i="18"/>
  <c r="F366" i="18"/>
  <c r="E366" i="18"/>
  <c r="D366" i="18"/>
  <c r="C366" i="18"/>
  <c r="B366" i="18"/>
  <c r="H365" i="18"/>
  <c r="I365" i="18" s="1"/>
  <c r="G365" i="18"/>
  <c r="F365" i="18"/>
  <c r="E365" i="18"/>
  <c r="D365" i="18"/>
  <c r="C365" i="18"/>
  <c r="B365" i="18"/>
  <c r="H364" i="18"/>
  <c r="I364" i="18" s="1"/>
  <c r="G364" i="18"/>
  <c r="F364" i="18"/>
  <c r="E364" i="18"/>
  <c r="D364" i="18"/>
  <c r="C364" i="18"/>
  <c r="B364" i="18"/>
  <c r="H363" i="18"/>
  <c r="I363" i="18" s="1"/>
  <c r="G363" i="18"/>
  <c r="F363" i="18"/>
  <c r="E363" i="18"/>
  <c r="D363" i="18"/>
  <c r="C363" i="18"/>
  <c r="B363" i="18"/>
  <c r="H362" i="18"/>
  <c r="I362" i="18" s="1"/>
  <c r="G362" i="18"/>
  <c r="F362" i="18"/>
  <c r="E362" i="18"/>
  <c r="D362" i="18"/>
  <c r="C362" i="18"/>
  <c r="B362" i="18"/>
  <c r="H361" i="18"/>
  <c r="I361" i="18" s="1"/>
  <c r="G361" i="18"/>
  <c r="F361" i="18"/>
  <c r="E361" i="18"/>
  <c r="D361" i="18"/>
  <c r="C361" i="18"/>
  <c r="B361" i="18"/>
  <c r="H360" i="18"/>
  <c r="I360" i="18" s="1"/>
  <c r="G360" i="18"/>
  <c r="F360" i="18"/>
  <c r="E360" i="18"/>
  <c r="D360" i="18"/>
  <c r="C360" i="18"/>
  <c r="B360" i="18"/>
  <c r="H359" i="18"/>
  <c r="I359" i="18" s="1"/>
  <c r="G359" i="18"/>
  <c r="F359" i="18"/>
  <c r="E359" i="18"/>
  <c r="D359" i="18"/>
  <c r="C359" i="18"/>
  <c r="B359" i="18"/>
  <c r="H358" i="18"/>
  <c r="I358" i="18" s="1"/>
  <c r="G358" i="18"/>
  <c r="F358" i="18"/>
  <c r="E358" i="18"/>
  <c r="D358" i="18"/>
  <c r="C358" i="18"/>
  <c r="B358" i="18"/>
  <c r="H357" i="18"/>
  <c r="I357" i="18" s="1"/>
  <c r="G357" i="18"/>
  <c r="F357" i="18"/>
  <c r="E357" i="18"/>
  <c r="D357" i="18"/>
  <c r="C357" i="18"/>
  <c r="B357" i="18"/>
  <c r="H356" i="18"/>
  <c r="I356" i="18" s="1"/>
  <c r="G356" i="18"/>
  <c r="F356" i="18"/>
  <c r="E356" i="18"/>
  <c r="D356" i="18"/>
  <c r="C356" i="18"/>
  <c r="B356" i="18"/>
  <c r="H355" i="18"/>
  <c r="I355" i="18" s="1"/>
  <c r="G355" i="18"/>
  <c r="F355" i="18"/>
  <c r="E355" i="18"/>
  <c r="D355" i="18"/>
  <c r="C355" i="18"/>
  <c r="B355" i="18"/>
  <c r="H354" i="18"/>
  <c r="I354" i="18" s="1"/>
  <c r="G354" i="18"/>
  <c r="F354" i="18"/>
  <c r="E354" i="18"/>
  <c r="D354" i="18"/>
  <c r="C354" i="18"/>
  <c r="B354" i="18"/>
  <c r="H353" i="18"/>
  <c r="I353" i="18" s="1"/>
  <c r="G353" i="18"/>
  <c r="F353" i="18"/>
  <c r="E353" i="18"/>
  <c r="D353" i="18"/>
  <c r="C353" i="18"/>
  <c r="B353" i="18"/>
  <c r="H352" i="18"/>
  <c r="I352" i="18" s="1"/>
  <c r="G352" i="18"/>
  <c r="F352" i="18"/>
  <c r="E352" i="18"/>
  <c r="D352" i="18"/>
  <c r="C352" i="18"/>
  <c r="B352" i="18"/>
  <c r="H351" i="18"/>
  <c r="I351" i="18" s="1"/>
  <c r="G351" i="18"/>
  <c r="F351" i="18"/>
  <c r="E351" i="18"/>
  <c r="D351" i="18"/>
  <c r="C351" i="18"/>
  <c r="B351" i="18"/>
  <c r="H350" i="18"/>
  <c r="I350" i="18" s="1"/>
  <c r="G350" i="18"/>
  <c r="F350" i="18"/>
  <c r="E350" i="18"/>
  <c r="D350" i="18"/>
  <c r="C350" i="18"/>
  <c r="B350" i="18"/>
  <c r="H349" i="18"/>
  <c r="I349" i="18" s="1"/>
  <c r="G349" i="18"/>
  <c r="F349" i="18"/>
  <c r="E349" i="18"/>
  <c r="D349" i="18"/>
  <c r="C349" i="18"/>
  <c r="B349" i="18"/>
  <c r="H348" i="18"/>
  <c r="I348" i="18" s="1"/>
  <c r="G348" i="18"/>
  <c r="F348" i="18"/>
  <c r="E348" i="18"/>
  <c r="D348" i="18"/>
  <c r="C348" i="18"/>
  <c r="B348" i="18"/>
  <c r="H347" i="18"/>
  <c r="I347" i="18" s="1"/>
  <c r="G347" i="18"/>
  <c r="F347" i="18"/>
  <c r="E347" i="18"/>
  <c r="D347" i="18"/>
  <c r="C347" i="18"/>
  <c r="B347" i="18"/>
  <c r="H346" i="18"/>
  <c r="I346" i="18" s="1"/>
  <c r="G346" i="18"/>
  <c r="F346" i="18"/>
  <c r="E346" i="18"/>
  <c r="D346" i="18"/>
  <c r="C346" i="18"/>
  <c r="B346" i="18"/>
  <c r="H345" i="18"/>
  <c r="I345" i="18" s="1"/>
  <c r="G345" i="18"/>
  <c r="F345" i="18"/>
  <c r="E345" i="18"/>
  <c r="D345" i="18"/>
  <c r="C345" i="18"/>
  <c r="B345" i="18"/>
  <c r="H344" i="18"/>
  <c r="I344" i="18" s="1"/>
  <c r="G344" i="18"/>
  <c r="F344" i="18"/>
  <c r="E344" i="18"/>
  <c r="D344" i="18"/>
  <c r="C344" i="18"/>
  <c r="B344" i="18"/>
  <c r="H343" i="18"/>
  <c r="I343" i="18" s="1"/>
  <c r="G343" i="18"/>
  <c r="F343" i="18"/>
  <c r="E343" i="18"/>
  <c r="D343" i="18"/>
  <c r="C343" i="18"/>
  <c r="B343" i="18"/>
  <c r="H342" i="18"/>
  <c r="I342" i="18" s="1"/>
  <c r="G342" i="18"/>
  <c r="F342" i="18"/>
  <c r="E342" i="18"/>
  <c r="D342" i="18"/>
  <c r="C342" i="18"/>
  <c r="B342" i="18"/>
  <c r="H341" i="18"/>
  <c r="I341" i="18" s="1"/>
  <c r="G341" i="18"/>
  <c r="F341" i="18"/>
  <c r="E341" i="18"/>
  <c r="D341" i="18"/>
  <c r="C341" i="18"/>
  <c r="B341" i="18"/>
  <c r="H340" i="18"/>
  <c r="I340" i="18" s="1"/>
  <c r="G340" i="18"/>
  <c r="F340" i="18"/>
  <c r="E340" i="18"/>
  <c r="D340" i="18"/>
  <c r="C340" i="18"/>
  <c r="B340" i="18"/>
  <c r="H339" i="18"/>
  <c r="I339" i="18" s="1"/>
  <c r="G339" i="18"/>
  <c r="F339" i="18"/>
  <c r="E339" i="18"/>
  <c r="D339" i="18"/>
  <c r="C339" i="18"/>
  <c r="B339" i="18"/>
  <c r="H338" i="18"/>
  <c r="I338" i="18" s="1"/>
  <c r="G338" i="18"/>
  <c r="F338" i="18"/>
  <c r="E338" i="18"/>
  <c r="D338" i="18"/>
  <c r="C338" i="18"/>
  <c r="B338" i="18"/>
  <c r="H337" i="18"/>
  <c r="I337" i="18" s="1"/>
  <c r="G337" i="18"/>
  <c r="F337" i="18"/>
  <c r="E337" i="18"/>
  <c r="D337" i="18"/>
  <c r="C337" i="18"/>
  <c r="B337" i="18"/>
  <c r="H336" i="18"/>
  <c r="I336" i="18" s="1"/>
  <c r="G336" i="18"/>
  <c r="F336" i="18"/>
  <c r="E336" i="18"/>
  <c r="D336" i="18"/>
  <c r="C336" i="18"/>
  <c r="B336" i="18"/>
  <c r="H335" i="18"/>
  <c r="I335" i="18" s="1"/>
  <c r="G335" i="18"/>
  <c r="F335" i="18"/>
  <c r="E335" i="18"/>
  <c r="D335" i="18"/>
  <c r="C335" i="18"/>
  <c r="B335" i="18"/>
  <c r="H334" i="18"/>
  <c r="I334" i="18" s="1"/>
  <c r="G334" i="18"/>
  <c r="F334" i="18"/>
  <c r="E334" i="18"/>
  <c r="D334" i="18"/>
  <c r="C334" i="18"/>
  <c r="B334" i="18"/>
  <c r="H333" i="18"/>
  <c r="I333" i="18" s="1"/>
  <c r="G333" i="18"/>
  <c r="F333" i="18"/>
  <c r="E333" i="18"/>
  <c r="D333" i="18"/>
  <c r="C333" i="18"/>
  <c r="B333" i="18"/>
  <c r="H332" i="18"/>
  <c r="I332" i="18" s="1"/>
  <c r="G332" i="18"/>
  <c r="F332" i="18"/>
  <c r="E332" i="18"/>
  <c r="D332" i="18"/>
  <c r="C332" i="18"/>
  <c r="B332" i="18"/>
  <c r="H331" i="18"/>
  <c r="I331" i="18" s="1"/>
  <c r="G331" i="18"/>
  <c r="F331" i="18"/>
  <c r="E331" i="18"/>
  <c r="D331" i="18"/>
  <c r="C331" i="18"/>
  <c r="B331" i="18"/>
  <c r="H330" i="18"/>
  <c r="I330" i="18" s="1"/>
  <c r="G330" i="18"/>
  <c r="F330" i="18"/>
  <c r="E330" i="18"/>
  <c r="D330" i="18"/>
  <c r="C330" i="18"/>
  <c r="B330" i="18"/>
  <c r="H329" i="18"/>
  <c r="I329" i="18" s="1"/>
  <c r="G329" i="18"/>
  <c r="F329" i="18"/>
  <c r="E329" i="18"/>
  <c r="D329" i="18"/>
  <c r="C329" i="18"/>
  <c r="B329" i="18"/>
  <c r="H328" i="18"/>
  <c r="I328" i="18" s="1"/>
  <c r="G328" i="18"/>
  <c r="F328" i="18"/>
  <c r="E328" i="18"/>
  <c r="D328" i="18"/>
  <c r="C328" i="18"/>
  <c r="B328" i="18"/>
  <c r="H327" i="18"/>
  <c r="I327" i="18" s="1"/>
  <c r="G327" i="18"/>
  <c r="F327" i="18"/>
  <c r="E327" i="18"/>
  <c r="D327" i="18"/>
  <c r="C327" i="18"/>
  <c r="B327" i="18"/>
  <c r="H326" i="18"/>
  <c r="I326" i="18" s="1"/>
  <c r="G326" i="18"/>
  <c r="F326" i="18"/>
  <c r="E326" i="18"/>
  <c r="D326" i="18"/>
  <c r="C326" i="18"/>
  <c r="B326" i="18"/>
  <c r="H325" i="18"/>
  <c r="I325" i="18" s="1"/>
  <c r="G325" i="18"/>
  <c r="F325" i="18"/>
  <c r="E325" i="18"/>
  <c r="D325" i="18"/>
  <c r="C325" i="18"/>
  <c r="B325" i="18"/>
  <c r="H324" i="18"/>
  <c r="I324" i="18" s="1"/>
  <c r="G324" i="18"/>
  <c r="F324" i="18"/>
  <c r="E324" i="18"/>
  <c r="D324" i="18"/>
  <c r="C324" i="18"/>
  <c r="B324" i="18"/>
  <c r="H323" i="18"/>
  <c r="I323" i="18" s="1"/>
  <c r="G323" i="18"/>
  <c r="F323" i="18"/>
  <c r="E323" i="18"/>
  <c r="D323" i="18"/>
  <c r="C323" i="18"/>
  <c r="B323" i="18"/>
  <c r="H322" i="18"/>
  <c r="I322" i="18" s="1"/>
  <c r="G322" i="18"/>
  <c r="F322" i="18"/>
  <c r="E322" i="18"/>
  <c r="D322" i="18"/>
  <c r="C322" i="18"/>
  <c r="B322" i="18"/>
  <c r="H321" i="18"/>
  <c r="I321" i="18" s="1"/>
  <c r="G321" i="18"/>
  <c r="F321" i="18"/>
  <c r="E321" i="18"/>
  <c r="D321" i="18"/>
  <c r="C321" i="18"/>
  <c r="B321" i="18"/>
  <c r="H320" i="18"/>
  <c r="I320" i="18" s="1"/>
  <c r="G320" i="18"/>
  <c r="F320" i="18"/>
  <c r="E320" i="18"/>
  <c r="D320" i="18"/>
  <c r="C320" i="18"/>
  <c r="B320" i="18"/>
  <c r="H319" i="18"/>
  <c r="I319" i="18" s="1"/>
  <c r="G319" i="18"/>
  <c r="F319" i="18"/>
  <c r="E319" i="18"/>
  <c r="D319" i="18"/>
  <c r="C319" i="18"/>
  <c r="B319" i="18"/>
  <c r="H318" i="18"/>
  <c r="I318" i="18" s="1"/>
  <c r="G318" i="18"/>
  <c r="F318" i="18"/>
  <c r="E318" i="18"/>
  <c r="D318" i="18"/>
  <c r="C318" i="18"/>
  <c r="B318" i="18"/>
  <c r="H317" i="18"/>
  <c r="I317" i="18" s="1"/>
  <c r="G317" i="18"/>
  <c r="F317" i="18"/>
  <c r="E317" i="18"/>
  <c r="D317" i="18"/>
  <c r="C317" i="18"/>
  <c r="B317" i="18"/>
  <c r="H316" i="18"/>
  <c r="I316" i="18" s="1"/>
  <c r="G316" i="18"/>
  <c r="F316" i="18"/>
  <c r="E316" i="18"/>
  <c r="D316" i="18"/>
  <c r="C316" i="18"/>
  <c r="B316" i="18"/>
  <c r="H315" i="18"/>
  <c r="I315" i="18" s="1"/>
  <c r="G315" i="18"/>
  <c r="F315" i="18"/>
  <c r="E315" i="18"/>
  <c r="D315" i="18"/>
  <c r="C315" i="18"/>
  <c r="B315" i="18"/>
  <c r="H314" i="18"/>
  <c r="I314" i="18" s="1"/>
  <c r="G314" i="18"/>
  <c r="F314" i="18"/>
  <c r="E314" i="18"/>
  <c r="D314" i="18"/>
  <c r="C314" i="18"/>
  <c r="B314" i="18"/>
  <c r="H313" i="18"/>
  <c r="I313" i="18" s="1"/>
  <c r="G313" i="18"/>
  <c r="F313" i="18"/>
  <c r="E313" i="18"/>
  <c r="D313" i="18"/>
  <c r="C313" i="18"/>
  <c r="B313" i="18"/>
  <c r="H312" i="18"/>
  <c r="I312" i="18" s="1"/>
  <c r="G312" i="18"/>
  <c r="F312" i="18"/>
  <c r="E312" i="18"/>
  <c r="D312" i="18"/>
  <c r="C312" i="18"/>
  <c r="B312" i="18"/>
  <c r="H311" i="18"/>
  <c r="I311" i="18" s="1"/>
  <c r="G311" i="18"/>
  <c r="F311" i="18"/>
  <c r="E311" i="18"/>
  <c r="D311" i="18"/>
  <c r="C311" i="18"/>
  <c r="B311" i="18"/>
  <c r="H310" i="18"/>
  <c r="I310" i="18" s="1"/>
  <c r="G310" i="18"/>
  <c r="F310" i="18"/>
  <c r="E310" i="18"/>
  <c r="D310" i="18"/>
  <c r="C310" i="18"/>
  <c r="B310" i="18"/>
  <c r="H309" i="18"/>
  <c r="I309" i="18" s="1"/>
  <c r="G309" i="18"/>
  <c r="F309" i="18"/>
  <c r="E309" i="18"/>
  <c r="D309" i="18"/>
  <c r="C309" i="18"/>
  <c r="B309" i="18"/>
  <c r="H308" i="18"/>
  <c r="I308" i="18" s="1"/>
  <c r="G308" i="18"/>
  <c r="F308" i="18"/>
  <c r="E308" i="18"/>
  <c r="D308" i="18"/>
  <c r="C308" i="18"/>
  <c r="B308" i="18"/>
  <c r="H307" i="18"/>
  <c r="I307" i="18" s="1"/>
  <c r="G307" i="18"/>
  <c r="F307" i="18"/>
  <c r="E307" i="18"/>
  <c r="D307" i="18"/>
  <c r="C307" i="18"/>
  <c r="B307" i="18"/>
  <c r="H306" i="18"/>
  <c r="I306" i="18" s="1"/>
  <c r="G306" i="18"/>
  <c r="F306" i="18"/>
  <c r="E306" i="18"/>
  <c r="D306" i="18"/>
  <c r="C306" i="18"/>
  <c r="B306" i="18"/>
  <c r="H305" i="18"/>
  <c r="I305" i="18" s="1"/>
  <c r="G305" i="18"/>
  <c r="F305" i="18"/>
  <c r="E305" i="18"/>
  <c r="D305" i="18"/>
  <c r="C305" i="18"/>
  <c r="B305" i="18"/>
  <c r="H304" i="18"/>
  <c r="I304" i="18" s="1"/>
  <c r="G304" i="18"/>
  <c r="F304" i="18"/>
  <c r="E304" i="18"/>
  <c r="D304" i="18"/>
  <c r="C304" i="18"/>
  <c r="B304" i="18"/>
  <c r="H303" i="18"/>
  <c r="I303" i="18" s="1"/>
  <c r="G303" i="18"/>
  <c r="F303" i="18"/>
  <c r="E303" i="18"/>
  <c r="D303" i="18"/>
  <c r="C303" i="18"/>
  <c r="B303" i="18"/>
  <c r="H302" i="18"/>
  <c r="I302" i="18" s="1"/>
  <c r="G302" i="18"/>
  <c r="F302" i="18"/>
  <c r="E302" i="18"/>
  <c r="D302" i="18"/>
  <c r="C302" i="18"/>
  <c r="B302" i="18"/>
  <c r="H301" i="18"/>
  <c r="I301" i="18" s="1"/>
  <c r="G301" i="18"/>
  <c r="F301" i="18"/>
  <c r="E301" i="18"/>
  <c r="D301" i="18"/>
  <c r="C301" i="18"/>
  <c r="B301" i="18"/>
  <c r="H300" i="18"/>
  <c r="I300" i="18" s="1"/>
  <c r="G300" i="18"/>
  <c r="F300" i="18"/>
  <c r="E300" i="18"/>
  <c r="D300" i="18"/>
  <c r="C300" i="18"/>
  <c r="B300" i="18"/>
  <c r="H299" i="18"/>
  <c r="I299" i="18" s="1"/>
  <c r="G299" i="18"/>
  <c r="F299" i="18"/>
  <c r="E299" i="18"/>
  <c r="D299" i="18"/>
  <c r="C299" i="18"/>
  <c r="B299" i="18"/>
  <c r="H298" i="18"/>
  <c r="I298" i="18" s="1"/>
  <c r="G298" i="18"/>
  <c r="F298" i="18"/>
  <c r="E298" i="18"/>
  <c r="D298" i="18"/>
  <c r="C298" i="18"/>
  <c r="B298" i="18"/>
  <c r="H297" i="18"/>
  <c r="I297" i="18" s="1"/>
  <c r="G297" i="18"/>
  <c r="F297" i="18"/>
  <c r="E297" i="18"/>
  <c r="D297" i="18"/>
  <c r="C297" i="18"/>
  <c r="B297" i="18"/>
  <c r="H296" i="18"/>
  <c r="I296" i="18" s="1"/>
  <c r="G296" i="18"/>
  <c r="F296" i="18"/>
  <c r="E296" i="18"/>
  <c r="D296" i="18"/>
  <c r="C296" i="18"/>
  <c r="B296" i="18"/>
  <c r="H295" i="18"/>
  <c r="I295" i="18" s="1"/>
  <c r="G295" i="18"/>
  <c r="F295" i="18"/>
  <c r="E295" i="18"/>
  <c r="D295" i="18"/>
  <c r="C295" i="18"/>
  <c r="B295" i="18"/>
  <c r="H294" i="18"/>
  <c r="I294" i="18" s="1"/>
  <c r="G294" i="18"/>
  <c r="F294" i="18"/>
  <c r="E294" i="18"/>
  <c r="D294" i="18"/>
  <c r="C294" i="18"/>
  <c r="B294" i="18"/>
  <c r="H293" i="18"/>
  <c r="I293" i="18" s="1"/>
  <c r="G293" i="18"/>
  <c r="F293" i="18"/>
  <c r="E293" i="18"/>
  <c r="D293" i="18"/>
  <c r="C293" i="18"/>
  <c r="B293" i="18"/>
  <c r="H292" i="18"/>
  <c r="I292" i="18" s="1"/>
  <c r="G292" i="18"/>
  <c r="F292" i="18"/>
  <c r="E292" i="18"/>
  <c r="D292" i="18"/>
  <c r="C292" i="18"/>
  <c r="B292" i="18"/>
  <c r="H291" i="18"/>
  <c r="I291" i="18" s="1"/>
  <c r="G291" i="18"/>
  <c r="F291" i="18"/>
  <c r="E291" i="18"/>
  <c r="D291" i="18"/>
  <c r="C291" i="18"/>
  <c r="B291" i="18"/>
  <c r="H290" i="18"/>
  <c r="I290" i="18" s="1"/>
  <c r="G290" i="18"/>
  <c r="F290" i="18"/>
  <c r="E290" i="18"/>
  <c r="D290" i="18"/>
  <c r="C290" i="18"/>
  <c r="B290" i="18"/>
  <c r="H289" i="18"/>
  <c r="I289" i="18" s="1"/>
  <c r="G289" i="18"/>
  <c r="F289" i="18"/>
  <c r="E289" i="18"/>
  <c r="D289" i="18"/>
  <c r="C289" i="18"/>
  <c r="B289" i="18"/>
  <c r="H288" i="18"/>
  <c r="I288" i="18" s="1"/>
  <c r="G288" i="18"/>
  <c r="F288" i="18"/>
  <c r="E288" i="18"/>
  <c r="D288" i="18"/>
  <c r="C288" i="18"/>
  <c r="B288" i="18"/>
  <c r="H287" i="18"/>
  <c r="I287" i="18" s="1"/>
  <c r="G287" i="18"/>
  <c r="F287" i="18"/>
  <c r="E287" i="18"/>
  <c r="D287" i="18"/>
  <c r="C287" i="18"/>
  <c r="B287" i="18"/>
  <c r="H286" i="18"/>
  <c r="I286" i="18" s="1"/>
  <c r="G286" i="18"/>
  <c r="F286" i="18"/>
  <c r="E286" i="18"/>
  <c r="D286" i="18"/>
  <c r="C286" i="18"/>
  <c r="B286" i="18"/>
  <c r="H285" i="18"/>
  <c r="I285" i="18" s="1"/>
  <c r="G285" i="18"/>
  <c r="F285" i="18"/>
  <c r="E285" i="18"/>
  <c r="D285" i="18"/>
  <c r="C285" i="18"/>
  <c r="B285" i="18"/>
  <c r="H284" i="18"/>
  <c r="I284" i="18" s="1"/>
  <c r="G284" i="18"/>
  <c r="F284" i="18"/>
  <c r="E284" i="18"/>
  <c r="D284" i="18"/>
  <c r="C284" i="18"/>
  <c r="B284" i="18"/>
  <c r="H283" i="18"/>
  <c r="I283" i="18" s="1"/>
  <c r="G283" i="18"/>
  <c r="F283" i="18"/>
  <c r="E283" i="18"/>
  <c r="D283" i="18"/>
  <c r="C283" i="18"/>
  <c r="B283" i="18"/>
  <c r="H282" i="18"/>
  <c r="I282" i="18" s="1"/>
  <c r="G282" i="18"/>
  <c r="F282" i="18"/>
  <c r="E282" i="18"/>
  <c r="D282" i="18"/>
  <c r="C282" i="18"/>
  <c r="B282" i="18"/>
  <c r="H281" i="18"/>
  <c r="I281" i="18" s="1"/>
  <c r="G281" i="18"/>
  <c r="F281" i="18"/>
  <c r="E281" i="18"/>
  <c r="D281" i="18"/>
  <c r="C281" i="18"/>
  <c r="B281" i="18"/>
  <c r="H280" i="18"/>
  <c r="I280" i="18" s="1"/>
  <c r="G280" i="18"/>
  <c r="F280" i="18"/>
  <c r="E280" i="18"/>
  <c r="D280" i="18"/>
  <c r="C280" i="18"/>
  <c r="B280" i="18"/>
  <c r="H279" i="18"/>
  <c r="I279" i="18" s="1"/>
  <c r="G279" i="18"/>
  <c r="F279" i="18"/>
  <c r="E279" i="18"/>
  <c r="D279" i="18"/>
  <c r="C279" i="18"/>
  <c r="B279" i="18"/>
  <c r="H278" i="18"/>
  <c r="I278" i="18" s="1"/>
  <c r="G278" i="18"/>
  <c r="F278" i="18"/>
  <c r="E278" i="18"/>
  <c r="D278" i="18"/>
  <c r="C278" i="18"/>
  <c r="B278" i="18"/>
  <c r="H277" i="18"/>
  <c r="I277" i="18" s="1"/>
  <c r="G277" i="18"/>
  <c r="F277" i="18"/>
  <c r="E277" i="18"/>
  <c r="D277" i="18"/>
  <c r="C277" i="18"/>
  <c r="B277" i="18"/>
  <c r="H276" i="18"/>
  <c r="I276" i="18" s="1"/>
  <c r="G276" i="18"/>
  <c r="F276" i="18"/>
  <c r="E276" i="18"/>
  <c r="D276" i="18"/>
  <c r="C276" i="18"/>
  <c r="B276" i="18"/>
  <c r="H275" i="18"/>
  <c r="I275" i="18" s="1"/>
  <c r="G275" i="18"/>
  <c r="F275" i="18"/>
  <c r="E275" i="18"/>
  <c r="D275" i="18"/>
  <c r="C275" i="18"/>
  <c r="B275" i="18"/>
  <c r="H274" i="18"/>
  <c r="I274" i="18" s="1"/>
  <c r="G274" i="18"/>
  <c r="F274" i="18"/>
  <c r="E274" i="18"/>
  <c r="D274" i="18"/>
  <c r="C274" i="18"/>
  <c r="B274" i="18"/>
  <c r="H273" i="18"/>
  <c r="I273" i="18" s="1"/>
  <c r="G273" i="18"/>
  <c r="F273" i="18"/>
  <c r="E273" i="18"/>
  <c r="D273" i="18"/>
  <c r="C273" i="18"/>
  <c r="B273" i="18"/>
  <c r="H272" i="18"/>
  <c r="I272" i="18" s="1"/>
  <c r="G272" i="18"/>
  <c r="F272" i="18"/>
  <c r="E272" i="18"/>
  <c r="D272" i="18"/>
  <c r="C272" i="18"/>
  <c r="B272" i="18"/>
  <c r="H271" i="18"/>
  <c r="I271" i="18" s="1"/>
  <c r="G271" i="18"/>
  <c r="F271" i="18"/>
  <c r="E271" i="18"/>
  <c r="D271" i="18"/>
  <c r="C271" i="18"/>
  <c r="B271" i="18"/>
  <c r="H270" i="18"/>
  <c r="I270" i="18" s="1"/>
  <c r="G270" i="18"/>
  <c r="F270" i="18"/>
  <c r="E270" i="18"/>
  <c r="D270" i="18"/>
  <c r="C270" i="18"/>
  <c r="B270" i="18"/>
  <c r="H269" i="18"/>
  <c r="I269" i="18" s="1"/>
  <c r="G269" i="18"/>
  <c r="F269" i="18"/>
  <c r="E269" i="18"/>
  <c r="D269" i="18"/>
  <c r="C269" i="18"/>
  <c r="B269" i="18"/>
  <c r="H268" i="18"/>
  <c r="I268" i="18" s="1"/>
  <c r="G268" i="18"/>
  <c r="F268" i="18"/>
  <c r="E268" i="18"/>
  <c r="D268" i="18"/>
  <c r="C268" i="18"/>
  <c r="B268" i="18"/>
  <c r="H267" i="18"/>
  <c r="I267" i="18" s="1"/>
  <c r="G267" i="18"/>
  <c r="F267" i="18"/>
  <c r="E267" i="18"/>
  <c r="D267" i="18"/>
  <c r="C267" i="18"/>
  <c r="B267" i="18"/>
  <c r="H266" i="18"/>
  <c r="I266" i="18" s="1"/>
  <c r="G266" i="18"/>
  <c r="F266" i="18"/>
  <c r="E266" i="18"/>
  <c r="D266" i="18"/>
  <c r="C266" i="18"/>
  <c r="B266" i="18"/>
  <c r="H265" i="18"/>
  <c r="I265" i="18" s="1"/>
  <c r="G265" i="18"/>
  <c r="F265" i="18"/>
  <c r="E265" i="18"/>
  <c r="D265" i="18"/>
  <c r="C265" i="18"/>
  <c r="B265" i="18"/>
  <c r="H264" i="18"/>
  <c r="I264" i="18" s="1"/>
  <c r="G264" i="18"/>
  <c r="F264" i="18"/>
  <c r="E264" i="18"/>
  <c r="D264" i="18"/>
  <c r="C264" i="18"/>
  <c r="B264" i="18"/>
  <c r="H263" i="18"/>
  <c r="I263" i="18" s="1"/>
  <c r="G263" i="18"/>
  <c r="F263" i="18"/>
  <c r="E263" i="18"/>
  <c r="D263" i="18"/>
  <c r="C263" i="18"/>
  <c r="B263" i="18"/>
  <c r="H262" i="18"/>
  <c r="I262" i="18" s="1"/>
  <c r="G262" i="18"/>
  <c r="F262" i="18"/>
  <c r="E262" i="18"/>
  <c r="D262" i="18"/>
  <c r="C262" i="18"/>
  <c r="B262" i="18"/>
  <c r="H261" i="18"/>
  <c r="I261" i="18" s="1"/>
  <c r="G261" i="18"/>
  <c r="F261" i="18"/>
  <c r="E261" i="18"/>
  <c r="D261" i="18"/>
  <c r="C261" i="18"/>
  <c r="B261" i="18"/>
  <c r="H260" i="18"/>
  <c r="I260" i="18" s="1"/>
  <c r="G260" i="18"/>
  <c r="F260" i="18"/>
  <c r="E260" i="18"/>
  <c r="D260" i="18"/>
  <c r="C260" i="18"/>
  <c r="B260" i="18"/>
  <c r="H259" i="18"/>
  <c r="I259" i="18" s="1"/>
  <c r="G259" i="18"/>
  <c r="F259" i="18"/>
  <c r="E259" i="18"/>
  <c r="D259" i="18"/>
  <c r="C259" i="18"/>
  <c r="B259" i="18"/>
  <c r="H258" i="18"/>
  <c r="I258" i="18" s="1"/>
  <c r="G258" i="18"/>
  <c r="F258" i="18"/>
  <c r="E258" i="18"/>
  <c r="D258" i="18"/>
  <c r="C258" i="18"/>
  <c r="B258" i="18"/>
  <c r="H257" i="18"/>
  <c r="I257" i="18" s="1"/>
  <c r="G257" i="18"/>
  <c r="F257" i="18"/>
  <c r="E257" i="18"/>
  <c r="D257" i="18"/>
  <c r="C257" i="18"/>
  <c r="B257" i="18"/>
  <c r="H256" i="18"/>
  <c r="I256" i="18" s="1"/>
  <c r="G256" i="18"/>
  <c r="F256" i="18"/>
  <c r="E256" i="18"/>
  <c r="D256" i="18"/>
  <c r="C256" i="18"/>
  <c r="B256" i="18"/>
  <c r="H255" i="18"/>
  <c r="I255" i="18" s="1"/>
  <c r="G255" i="18"/>
  <c r="F255" i="18"/>
  <c r="E255" i="18"/>
  <c r="D255" i="18"/>
  <c r="C255" i="18"/>
  <c r="B255" i="18"/>
  <c r="H254" i="18"/>
  <c r="I254" i="18" s="1"/>
  <c r="G254" i="18"/>
  <c r="F254" i="18"/>
  <c r="E254" i="18"/>
  <c r="D254" i="18"/>
  <c r="C254" i="18"/>
  <c r="B254" i="18"/>
  <c r="H253" i="18"/>
  <c r="I253" i="18" s="1"/>
  <c r="G253" i="18"/>
  <c r="F253" i="18"/>
  <c r="E253" i="18"/>
  <c r="D253" i="18"/>
  <c r="C253" i="18"/>
  <c r="B253" i="18"/>
  <c r="H252" i="18"/>
  <c r="I252" i="18" s="1"/>
  <c r="G252" i="18"/>
  <c r="F252" i="18"/>
  <c r="E252" i="18"/>
  <c r="D252" i="18"/>
  <c r="C252" i="18"/>
  <c r="B252" i="18"/>
  <c r="H251" i="18"/>
  <c r="I251" i="18" s="1"/>
  <c r="G251" i="18"/>
  <c r="F251" i="18"/>
  <c r="E251" i="18"/>
  <c r="D251" i="18"/>
  <c r="C251" i="18"/>
  <c r="B251" i="18"/>
  <c r="H250" i="18"/>
  <c r="I250" i="18" s="1"/>
  <c r="G250" i="18"/>
  <c r="F250" i="18"/>
  <c r="E250" i="18"/>
  <c r="D250" i="18"/>
  <c r="C250" i="18"/>
  <c r="B250" i="18"/>
  <c r="H249" i="18"/>
  <c r="I249" i="18" s="1"/>
  <c r="G249" i="18"/>
  <c r="F249" i="18"/>
  <c r="E249" i="18"/>
  <c r="D249" i="18"/>
  <c r="C249" i="18"/>
  <c r="B249" i="18"/>
  <c r="H248" i="18"/>
  <c r="I248" i="18" s="1"/>
  <c r="G248" i="18"/>
  <c r="F248" i="18"/>
  <c r="E248" i="18"/>
  <c r="D248" i="18"/>
  <c r="C248" i="18"/>
  <c r="B248" i="18"/>
  <c r="H247" i="18"/>
  <c r="I247" i="18" s="1"/>
  <c r="G247" i="18"/>
  <c r="F247" i="18"/>
  <c r="E247" i="18"/>
  <c r="D247" i="18"/>
  <c r="C247" i="18"/>
  <c r="B247" i="18"/>
  <c r="H246" i="18"/>
  <c r="I246" i="18" s="1"/>
  <c r="G246" i="18"/>
  <c r="F246" i="18"/>
  <c r="E246" i="18"/>
  <c r="D246" i="18"/>
  <c r="C246" i="18"/>
  <c r="B246" i="18"/>
  <c r="H245" i="18"/>
  <c r="I245" i="18" s="1"/>
  <c r="G245" i="18"/>
  <c r="F245" i="18"/>
  <c r="E245" i="18"/>
  <c r="D245" i="18"/>
  <c r="C245" i="18"/>
  <c r="B245" i="18"/>
  <c r="H244" i="18"/>
  <c r="I244" i="18" s="1"/>
  <c r="G244" i="18"/>
  <c r="F244" i="18"/>
  <c r="E244" i="18"/>
  <c r="D244" i="18"/>
  <c r="C244" i="18"/>
  <c r="B244" i="18"/>
  <c r="H243" i="18"/>
  <c r="I243" i="18" s="1"/>
  <c r="G243" i="18"/>
  <c r="F243" i="18"/>
  <c r="E243" i="18"/>
  <c r="D243" i="18"/>
  <c r="C243" i="18"/>
  <c r="B243" i="18"/>
  <c r="H242" i="18"/>
  <c r="I242" i="18" s="1"/>
  <c r="G242" i="18"/>
  <c r="F242" i="18"/>
  <c r="E242" i="18"/>
  <c r="D242" i="18"/>
  <c r="C242" i="18"/>
  <c r="B242" i="18"/>
  <c r="H241" i="18"/>
  <c r="I241" i="18" s="1"/>
  <c r="G241" i="18"/>
  <c r="F241" i="18"/>
  <c r="E241" i="18"/>
  <c r="D241" i="18"/>
  <c r="C241" i="18"/>
  <c r="B241" i="18"/>
  <c r="H240" i="18"/>
  <c r="I240" i="18" s="1"/>
  <c r="G240" i="18"/>
  <c r="F240" i="18"/>
  <c r="E240" i="18"/>
  <c r="D240" i="18"/>
  <c r="C240" i="18"/>
  <c r="B240" i="18"/>
  <c r="H239" i="18"/>
  <c r="I239" i="18" s="1"/>
  <c r="G239" i="18"/>
  <c r="F239" i="18"/>
  <c r="E239" i="18"/>
  <c r="D239" i="18"/>
  <c r="C239" i="18"/>
  <c r="B239" i="18"/>
  <c r="H238" i="18"/>
  <c r="I238" i="18" s="1"/>
  <c r="G238" i="18"/>
  <c r="F238" i="18"/>
  <c r="E238" i="18"/>
  <c r="D238" i="18"/>
  <c r="C238" i="18"/>
  <c r="B238" i="18"/>
  <c r="H237" i="18"/>
  <c r="I237" i="18" s="1"/>
  <c r="G237" i="18"/>
  <c r="F237" i="18"/>
  <c r="E237" i="18"/>
  <c r="D237" i="18"/>
  <c r="C237" i="18"/>
  <c r="B237" i="18"/>
  <c r="H236" i="18"/>
  <c r="I236" i="18" s="1"/>
  <c r="G236" i="18"/>
  <c r="F236" i="18"/>
  <c r="E236" i="18"/>
  <c r="D236" i="18"/>
  <c r="C236" i="18"/>
  <c r="B236" i="18"/>
  <c r="H235" i="18"/>
  <c r="I235" i="18" s="1"/>
  <c r="G235" i="18"/>
  <c r="F235" i="18"/>
  <c r="E235" i="18"/>
  <c r="D235" i="18"/>
  <c r="C235" i="18"/>
  <c r="B235" i="18"/>
  <c r="H234" i="18"/>
  <c r="I234" i="18" s="1"/>
  <c r="G234" i="18"/>
  <c r="F234" i="18"/>
  <c r="E234" i="18"/>
  <c r="D234" i="18"/>
  <c r="C234" i="18"/>
  <c r="B234" i="18"/>
  <c r="H233" i="18"/>
  <c r="I233" i="18" s="1"/>
  <c r="G233" i="18"/>
  <c r="F233" i="18"/>
  <c r="E233" i="18"/>
  <c r="D233" i="18"/>
  <c r="C233" i="18"/>
  <c r="B233" i="18"/>
  <c r="H232" i="18"/>
  <c r="I232" i="18" s="1"/>
  <c r="G232" i="18"/>
  <c r="F232" i="18"/>
  <c r="E232" i="18"/>
  <c r="D232" i="18"/>
  <c r="C232" i="18"/>
  <c r="B232" i="18"/>
  <c r="H231" i="18"/>
  <c r="I231" i="18" s="1"/>
  <c r="G231" i="18"/>
  <c r="F231" i="18"/>
  <c r="E231" i="18"/>
  <c r="D231" i="18"/>
  <c r="C231" i="18"/>
  <c r="B231" i="18"/>
  <c r="H230" i="18"/>
  <c r="I230" i="18" s="1"/>
  <c r="G230" i="18"/>
  <c r="F230" i="18"/>
  <c r="E230" i="18"/>
  <c r="D230" i="18"/>
  <c r="C230" i="18"/>
  <c r="B230" i="18"/>
  <c r="H229" i="18"/>
  <c r="I229" i="18" s="1"/>
  <c r="G229" i="18"/>
  <c r="F229" i="18"/>
  <c r="E229" i="18"/>
  <c r="D229" i="18"/>
  <c r="C229" i="18"/>
  <c r="B229" i="18"/>
  <c r="H228" i="18"/>
  <c r="I228" i="18" s="1"/>
  <c r="G228" i="18"/>
  <c r="F228" i="18"/>
  <c r="E228" i="18"/>
  <c r="D228" i="18"/>
  <c r="C228" i="18"/>
  <c r="B228" i="18"/>
  <c r="H227" i="18"/>
  <c r="I227" i="18" s="1"/>
  <c r="G227" i="18"/>
  <c r="F227" i="18"/>
  <c r="E227" i="18"/>
  <c r="D227" i="18"/>
  <c r="C227" i="18"/>
  <c r="B227" i="18"/>
  <c r="H226" i="18"/>
  <c r="I226" i="18" s="1"/>
  <c r="G226" i="18"/>
  <c r="F226" i="18"/>
  <c r="E226" i="18"/>
  <c r="D226" i="18"/>
  <c r="C226" i="18"/>
  <c r="B226" i="18"/>
  <c r="H225" i="18"/>
  <c r="I225" i="18" s="1"/>
  <c r="G225" i="18"/>
  <c r="F225" i="18"/>
  <c r="E225" i="18"/>
  <c r="D225" i="18"/>
  <c r="C225" i="18"/>
  <c r="B225" i="18"/>
  <c r="H224" i="18"/>
  <c r="I224" i="18" s="1"/>
  <c r="G224" i="18"/>
  <c r="F224" i="18"/>
  <c r="E224" i="18"/>
  <c r="D224" i="18"/>
  <c r="C224" i="18"/>
  <c r="B224" i="18"/>
  <c r="H223" i="18"/>
  <c r="I223" i="18" s="1"/>
  <c r="G223" i="18"/>
  <c r="F223" i="18"/>
  <c r="E223" i="18"/>
  <c r="D223" i="18"/>
  <c r="C223" i="18"/>
  <c r="B223" i="18"/>
  <c r="H222" i="18"/>
  <c r="I222" i="18" s="1"/>
  <c r="G222" i="18"/>
  <c r="F222" i="18"/>
  <c r="E222" i="18"/>
  <c r="D222" i="18"/>
  <c r="C222" i="18"/>
  <c r="B222" i="18"/>
  <c r="H221" i="18"/>
  <c r="I221" i="18" s="1"/>
  <c r="G221" i="18"/>
  <c r="F221" i="18"/>
  <c r="E221" i="18"/>
  <c r="D221" i="18"/>
  <c r="C221" i="18"/>
  <c r="B221" i="18"/>
  <c r="H220" i="18"/>
  <c r="I220" i="18" s="1"/>
  <c r="G220" i="18"/>
  <c r="F220" i="18"/>
  <c r="E220" i="18"/>
  <c r="D220" i="18"/>
  <c r="C220" i="18"/>
  <c r="B220" i="18"/>
  <c r="H219" i="18"/>
  <c r="I219" i="18" s="1"/>
  <c r="G219" i="18"/>
  <c r="F219" i="18"/>
  <c r="E219" i="18"/>
  <c r="D219" i="18"/>
  <c r="C219" i="18"/>
  <c r="B219" i="18"/>
  <c r="H218" i="18"/>
  <c r="I218" i="18" s="1"/>
  <c r="G218" i="18"/>
  <c r="F218" i="18"/>
  <c r="E218" i="18"/>
  <c r="D218" i="18"/>
  <c r="C218" i="18"/>
  <c r="B218" i="18"/>
  <c r="H217" i="18"/>
  <c r="I217" i="18" s="1"/>
  <c r="G217" i="18"/>
  <c r="F217" i="18"/>
  <c r="E217" i="18"/>
  <c r="D217" i="18"/>
  <c r="C217" i="18"/>
  <c r="B217" i="18"/>
  <c r="H216" i="18"/>
  <c r="I216" i="18" s="1"/>
  <c r="G216" i="18"/>
  <c r="F216" i="18"/>
  <c r="E216" i="18"/>
  <c r="D216" i="18"/>
  <c r="C216" i="18"/>
  <c r="B216" i="18"/>
  <c r="H215" i="18"/>
  <c r="I215" i="18" s="1"/>
  <c r="G215" i="18"/>
  <c r="F215" i="18"/>
  <c r="E215" i="18"/>
  <c r="D215" i="18"/>
  <c r="C215" i="18"/>
  <c r="B215" i="18"/>
  <c r="H214" i="18"/>
  <c r="I214" i="18" s="1"/>
  <c r="G214" i="18"/>
  <c r="F214" i="18"/>
  <c r="E214" i="18"/>
  <c r="D214" i="18"/>
  <c r="C214" i="18"/>
  <c r="B214" i="18"/>
  <c r="H213" i="18"/>
  <c r="I213" i="18" s="1"/>
  <c r="G213" i="18"/>
  <c r="F213" i="18"/>
  <c r="E213" i="18"/>
  <c r="D213" i="18"/>
  <c r="C213" i="18"/>
  <c r="B213" i="18"/>
  <c r="H212" i="18"/>
  <c r="I212" i="18" s="1"/>
  <c r="G212" i="18"/>
  <c r="F212" i="18"/>
  <c r="E212" i="18"/>
  <c r="D212" i="18"/>
  <c r="C212" i="18"/>
  <c r="B212" i="18"/>
  <c r="H211" i="18"/>
  <c r="I211" i="18" s="1"/>
  <c r="G211" i="18"/>
  <c r="F211" i="18"/>
  <c r="E211" i="18"/>
  <c r="D211" i="18"/>
  <c r="C211" i="18"/>
  <c r="B211" i="18"/>
  <c r="H210" i="18"/>
  <c r="I210" i="18" s="1"/>
  <c r="G210" i="18"/>
  <c r="F210" i="18"/>
  <c r="E210" i="18"/>
  <c r="D210" i="18"/>
  <c r="C210" i="18"/>
  <c r="B210" i="18"/>
  <c r="H209" i="18"/>
  <c r="I209" i="18" s="1"/>
  <c r="G209" i="18"/>
  <c r="F209" i="18"/>
  <c r="E209" i="18"/>
  <c r="D209" i="18"/>
  <c r="C209" i="18"/>
  <c r="B209" i="18"/>
  <c r="H208" i="18"/>
  <c r="I208" i="18" s="1"/>
  <c r="G208" i="18"/>
  <c r="F208" i="18"/>
  <c r="E208" i="18"/>
  <c r="D208" i="18"/>
  <c r="C208" i="18"/>
  <c r="B208" i="18"/>
  <c r="H207" i="18"/>
  <c r="I207" i="18" s="1"/>
  <c r="G207" i="18"/>
  <c r="F207" i="18"/>
  <c r="E207" i="18"/>
  <c r="D207" i="18"/>
  <c r="C207" i="18"/>
  <c r="B207" i="18"/>
  <c r="H206" i="18"/>
  <c r="I206" i="18" s="1"/>
  <c r="G206" i="18"/>
  <c r="F206" i="18"/>
  <c r="E206" i="18"/>
  <c r="D206" i="18"/>
  <c r="C206" i="18"/>
  <c r="B206" i="18"/>
  <c r="H205" i="18"/>
  <c r="I205" i="18" s="1"/>
  <c r="G205" i="18"/>
  <c r="F205" i="18"/>
  <c r="E205" i="18"/>
  <c r="D205" i="18"/>
  <c r="C205" i="18"/>
  <c r="B205" i="18"/>
  <c r="H204" i="18"/>
  <c r="I204" i="18" s="1"/>
  <c r="G204" i="18"/>
  <c r="F204" i="18"/>
  <c r="E204" i="18"/>
  <c r="D204" i="18"/>
  <c r="C204" i="18"/>
  <c r="B204" i="18"/>
  <c r="H203" i="18"/>
  <c r="I203" i="18" s="1"/>
  <c r="G203" i="18"/>
  <c r="F203" i="18"/>
  <c r="E203" i="18"/>
  <c r="D203" i="18"/>
  <c r="C203" i="18"/>
  <c r="B203" i="18"/>
  <c r="H202" i="18"/>
  <c r="I202" i="18" s="1"/>
  <c r="G202" i="18"/>
  <c r="F202" i="18"/>
  <c r="E202" i="18"/>
  <c r="D202" i="18"/>
  <c r="C202" i="18"/>
  <c r="B202" i="18"/>
  <c r="H201" i="18"/>
  <c r="I201" i="18" s="1"/>
  <c r="G201" i="18"/>
  <c r="F201" i="18"/>
  <c r="E201" i="18"/>
  <c r="D201" i="18"/>
  <c r="C201" i="18"/>
  <c r="B201" i="18"/>
  <c r="H200" i="18"/>
  <c r="I200" i="18" s="1"/>
  <c r="G200" i="18"/>
  <c r="F200" i="18"/>
  <c r="E200" i="18"/>
  <c r="D200" i="18"/>
  <c r="C200" i="18"/>
  <c r="B200" i="18"/>
  <c r="H199" i="18"/>
  <c r="I199" i="18" s="1"/>
  <c r="G199" i="18"/>
  <c r="F199" i="18"/>
  <c r="E199" i="18"/>
  <c r="D199" i="18"/>
  <c r="C199" i="18"/>
  <c r="B199" i="18"/>
  <c r="H198" i="18"/>
  <c r="I198" i="18" s="1"/>
  <c r="G198" i="18"/>
  <c r="F198" i="18"/>
  <c r="E198" i="18"/>
  <c r="D198" i="18"/>
  <c r="C198" i="18"/>
  <c r="B198" i="18"/>
  <c r="H197" i="18"/>
  <c r="I197" i="18" s="1"/>
  <c r="G197" i="18"/>
  <c r="F197" i="18"/>
  <c r="E197" i="18"/>
  <c r="D197" i="18"/>
  <c r="C197" i="18"/>
  <c r="B197" i="18"/>
  <c r="H196" i="18"/>
  <c r="I196" i="18" s="1"/>
  <c r="G196" i="18"/>
  <c r="F196" i="18"/>
  <c r="E196" i="18"/>
  <c r="D196" i="18"/>
  <c r="C196" i="18"/>
  <c r="B196" i="18"/>
  <c r="H195" i="18"/>
  <c r="I195" i="18" s="1"/>
  <c r="G195" i="18"/>
  <c r="F195" i="18"/>
  <c r="E195" i="18"/>
  <c r="D195" i="18"/>
  <c r="C195" i="18"/>
  <c r="B195" i="18"/>
  <c r="H194" i="18"/>
  <c r="I194" i="18" s="1"/>
  <c r="G194" i="18"/>
  <c r="F194" i="18"/>
  <c r="E194" i="18"/>
  <c r="D194" i="18"/>
  <c r="C194" i="18"/>
  <c r="B194" i="18"/>
  <c r="H193" i="18"/>
  <c r="I193" i="18" s="1"/>
  <c r="G193" i="18"/>
  <c r="F193" i="18"/>
  <c r="E193" i="18"/>
  <c r="D193" i="18"/>
  <c r="C193" i="18"/>
  <c r="B193" i="18"/>
  <c r="H192" i="18"/>
  <c r="I192" i="18" s="1"/>
  <c r="G192" i="18"/>
  <c r="F192" i="18"/>
  <c r="E192" i="18"/>
  <c r="D192" i="18"/>
  <c r="C192" i="18"/>
  <c r="B192" i="18"/>
  <c r="H191" i="18"/>
  <c r="I191" i="18" s="1"/>
  <c r="G191" i="18"/>
  <c r="F191" i="18"/>
  <c r="E191" i="18"/>
  <c r="D191" i="18"/>
  <c r="C191" i="18"/>
  <c r="B191" i="18"/>
  <c r="H190" i="18"/>
  <c r="I190" i="18" s="1"/>
  <c r="G190" i="18"/>
  <c r="F190" i="18"/>
  <c r="E190" i="18"/>
  <c r="D190" i="18"/>
  <c r="C190" i="18"/>
  <c r="B190" i="18"/>
  <c r="H189" i="18"/>
  <c r="I189" i="18" s="1"/>
  <c r="G189" i="18"/>
  <c r="F189" i="18"/>
  <c r="E189" i="18"/>
  <c r="D189" i="18"/>
  <c r="C189" i="18"/>
  <c r="B189" i="18"/>
  <c r="H188" i="18"/>
  <c r="I188" i="18" s="1"/>
  <c r="G188" i="18"/>
  <c r="F188" i="18"/>
  <c r="E188" i="18"/>
  <c r="D188" i="18"/>
  <c r="C188" i="18"/>
  <c r="B188" i="18"/>
  <c r="H187" i="18"/>
  <c r="I187" i="18" s="1"/>
  <c r="G187" i="18"/>
  <c r="F187" i="18"/>
  <c r="E187" i="18"/>
  <c r="D187" i="18"/>
  <c r="C187" i="18"/>
  <c r="B187" i="18"/>
  <c r="H186" i="18"/>
  <c r="I186" i="18" s="1"/>
  <c r="G186" i="18"/>
  <c r="F186" i="18"/>
  <c r="E186" i="18"/>
  <c r="D186" i="18"/>
  <c r="C186" i="18"/>
  <c r="B186" i="18"/>
  <c r="H185" i="18"/>
  <c r="I185" i="18" s="1"/>
  <c r="G185" i="18"/>
  <c r="F185" i="18"/>
  <c r="E185" i="18"/>
  <c r="D185" i="18"/>
  <c r="C185" i="18"/>
  <c r="B185" i="18"/>
  <c r="H184" i="18"/>
  <c r="I184" i="18" s="1"/>
  <c r="G184" i="18"/>
  <c r="F184" i="18"/>
  <c r="E184" i="18"/>
  <c r="D184" i="18"/>
  <c r="C184" i="18"/>
  <c r="B184" i="18"/>
  <c r="H183" i="18"/>
  <c r="I183" i="18" s="1"/>
  <c r="G183" i="18"/>
  <c r="F183" i="18"/>
  <c r="E183" i="18"/>
  <c r="D183" i="18"/>
  <c r="C183" i="18"/>
  <c r="B183" i="18"/>
  <c r="H182" i="18"/>
  <c r="I182" i="18" s="1"/>
  <c r="G182" i="18"/>
  <c r="F182" i="18"/>
  <c r="E182" i="18"/>
  <c r="D182" i="18"/>
  <c r="C182" i="18"/>
  <c r="B182" i="18"/>
  <c r="H181" i="18"/>
  <c r="I181" i="18" s="1"/>
  <c r="G181" i="18"/>
  <c r="F181" i="18"/>
  <c r="E181" i="18"/>
  <c r="D181" i="18"/>
  <c r="C181" i="18"/>
  <c r="B181" i="18"/>
  <c r="H180" i="18"/>
  <c r="I180" i="18" s="1"/>
  <c r="G180" i="18"/>
  <c r="F180" i="18"/>
  <c r="E180" i="18"/>
  <c r="D180" i="18"/>
  <c r="C180" i="18"/>
  <c r="B180" i="18"/>
  <c r="H179" i="18"/>
  <c r="I179" i="18" s="1"/>
  <c r="G179" i="18"/>
  <c r="F179" i="18"/>
  <c r="E179" i="18"/>
  <c r="D179" i="18"/>
  <c r="C179" i="18"/>
  <c r="B179" i="18"/>
  <c r="H178" i="18"/>
  <c r="I178" i="18" s="1"/>
  <c r="G178" i="18"/>
  <c r="F178" i="18"/>
  <c r="E178" i="18"/>
  <c r="D178" i="18"/>
  <c r="C178" i="18"/>
  <c r="B178" i="18"/>
  <c r="H177" i="18"/>
  <c r="I177" i="18" s="1"/>
  <c r="G177" i="18"/>
  <c r="F177" i="18"/>
  <c r="E177" i="18"/>
  <c r="D177" i="18"/>
  <c r="C177" i="18"/>
  <c r="B177" i="18"/>
  <c r="H176" i="18"/>
  <c r="I176" i="18" s="1"/>
  <c r="G176" i="18"/>
  <c r="F176" i="18"/>
  <c r="E176" i="18"/>
  <c r="D176" i="18"/>
  <c r="C176" i="18"/>
  <c r="B176" i="18"/>
  <c r="H175" i="18"/>
  <c r="I175" i="18" s="1"/>
  <c r="G175" i="18"/>
  <c r="F175" i="18"/>
  <c r="E175" i="18"/>
  <c r="D175" i="18"/>
  <c r="C175" i="18"/>
  <c r="B175" i="18"/>
  <c r="H174" i="18"/>
  <c r="I174" i="18" s="1"/>
  <c r="G174" i="18"/>
  <c r="F174" i="18"/>
  <c r="E174" i="18"/>
  <c r="D174" i="18"/>
  <c r="C174" i="18"/>
  <c r="B174" i="18"/>
  <c r="H173" i="18"/>
  <c r="I173" i="18" s="1"/>
  <c r="G173" i="18"/>
  <c r="F173" i="18"/>
  <c r="E173" i="18"/>
  <c r="D173" i="18"/>
  <c r="C173" i="18"/>
  <c r="B173" i="18"/>
  <c r="H172" i="18"/>
  <c r="I172" i="18" s="1"/>
  <c r="G172" i="18"/>
  <c r="F172" i="18"/>
  <c r="E172" i="18"/>
  <c r="D172" i="18"/>
  <c r="C172" i="18"/>
  <c r="B172" i="18"/>
  <c r="H171" i="18"/>
  <c r="I171" i="18" s="1"/>
  <c r="G171" i="18"/>
  <c r="F171" i="18"/>
  <c r="E171" i="18"/>
  <c r="D171" i="18"/>
  <c r="C171" i="18"/>
  <c r="B171" i="18"/>
  <c r="H170" i="18"/>
  <c r="I170" i="18" s="1"/>
  <c r="G170" i="18"/>
  <c r="F170" i="18"/>
  <c r="E170" i="18"/>
  <c r="D170" i="18"/>
  <c r="C170" i="18"/>
  <c r="B170" i="18"/>
  <c r="H169" i="18"/>
  <c r="I169" i="18" s="1"/>
  <c r="G169" i="18"/>
  <c r="F169" i="18"/>
  <c r="E169" i="18"/>
  <c r="D169" i="18"/>
  <c r="C169" i="18"/>
  <c r="B169" i="18"/>
  <c r="H168" i="18"/>
  <c r="I168" i="18" s="1"/>
  <c r="G168" i="18"/>
  <c r="F168" i="18"/>
  <c r="E168" i="18"/>
  <c r="D168" i="18"/>
  <c r="C168" i="18"/>
  <c r="B168" i="18"/>
  <c r="H167" i="18"/>
  <c r="I167" i="18" s="1"/>
  <c r="G167" i="18"/>
  <c r="F167" i="18"/>
  <c r="E167" i="18"/>
  <c r="D167" i="18"/>
  <c r="C167" i="18"/>
  <c r="B167" i="18"/>
  <c r="H166" i="18"/>
  <c r="I166" i="18" s="1"/>
  <c r="G166" i="18"/>
  <c r="F166" i="18"/>
  <c r="E166" i="18"/>
  <c r="D166" i="18"/>
  <c r="C166" i="18"/>
  <c r="B166" i="18"/>
  <c r="H165" i="18"/>
  <c r="I165" i="18" s="1"/>
  <c r="G165" i="18"/>
  <c r="F165" i="18"/>
  <c r="E165" i="18"/>
  <c r="D165" i="18"/>
  <c r="C165" i="18"/>
  <c r="B165" i="18"/>
  <c r="H164" i="18"/>
  <c r="I164" i="18" s="1"/>
  <c r="G164" i="18"/>
  <c r="F164" i="18"/>
  <c r="E164" i="18"/>
  <c r="D164" i="18"/>
  <c r="C164" i="18"/>
  <c r="B164" i="18"/>
  <c r="H163" i="18"/>
  <c r="I163" i="18" s="1"/>
  <c r="G163" i="18"/>
  <c r="F163" i="18"/>
  <c r="E163" i="18"/>
  <c r="D163" i="18"/>
  <c r="C163" i="18"/>
  <c r="B163" i="18"/>
  <c r="H162" i="18"/>
  <c r="I162" i="18" s="1"/>
  <c r="G162" i="18"/>
  <c r="F162" i="18"/>
  <c r="E162" i="18"/>
  <c r="D162" i="18"/>
  <c r="C162" i="18"/>
  <c r="B162" i="18"/>
  <c r="H161" i="18"/>
  <c r="I161" i="18" s="1"/>
  <c r="G161" i="18"/>
  <c r="F161" i="18"/>
  <c r="E161" i="18"/>
  <c r="D161" i="18"/>
  <c r="C161" i="18"/>
  <c r="B161" i="18"/>
  <c r="H160" i="18"/>
  <c r="I160" i="18" s="1"/>
  <c r="G160" i="18"/>
  <c r="F160" i="18"/>
  <c r="E160" i="18"/>
  <c r="D160" i="18"/>
  <c r="C160" i="18"/>
  <c r="B160" i="18"/>
  <c r="H159" i="18"/>
  <c r="I159" i="18" s="1"/>
  <c r="G159" i="18"/>
  <c r="F159" i="18"/>
  <c r="E159" i="18"/>
  <c r="D159" i="18"/>
  <c r="C159" i="18"/>
  <c r="B159" i="18"/>
  <c r="H158" i="18"/>
  <c r="I158" i="18" s="1"/>
  <c r="G158" i="18"/>
  <c r="F158" i="18"/>
  <c r="E158" i="18"/>
  <c r="D158" i="18"/>
  <c r="C158" i="18"/>
  <c r="B158" i="18"/>
  <c r="H157" i="18"/>
  <c r="I157" i="18" s="1"/>
  <c r="G157" i="18"/>
  <c r="F157" i="18"/>
  <c r="E157" i="18"/>
  <c r="D157" i="18"/>
  <c r="C157" i="18"/>
  <c r="B157" i="18"/>
  <c r="H156" i="18"/>
  <c r="I156" i="18" s="1"/>
  <c r="G156" i="18"/>
  <c r="F156" i="18"/>
  <c r="E156" i="18"/>
  <c r="D156" i="18"/>
  <c r="C156" i="18"/>
  <c r="B156" i="18"/>
  <c r="H155" i="18"/>
  <c r="I155" i="18" s="1"/>
  <c r="G155" i="18"/>
  <c r="F155" i="18"/>
  <c r="E155" i="18"/>
  <c r="D155" i="18"/>
  <c r="C155" i="18"/>
  <c r="B155" i="18"/>
  <c r="H154" i="18"/>
  <c r="I154" i="18" s="1"/>
  <c r="G154" i="18"/>
  <c r="F154" i="18"/>
  <c r="E154" i="18"/>
  <c r="D154" i="18"/>
  <c r="C154" i="18"/>
  <c r="B154" i="18"/>
  <c r="H153" i="18"/>
  <c r="I153" i="18" s="1"/>
  <c r="G153" i="18"/>
  <c r="F153" i="18"/>
  <c r="E153" i="18"/>
  <c r="D153" i="18"/>
  <c r="C153" i="18"/>
  <c r="B153" i="18"/>
  <c r="H152" i="18"/>
  <c r="I152" i="18" s="1"/>
  <c r="G152" i="18"/>
  <c r="F152" i="18"/>
  <c r="E152" i="18"/>
  <c r="D152" i="18"/>
  <c r="C152" i="18"/>
  <c r="B152" i="18"/>
  <c r="H151" i="18"/>
  <c r="I151" i="18" s="1"/>
  <c r="G151" i="18"/>
  <c r="F151" i="18"/>
  <c r="E151" i="18"/>
  <c r="D151" i="18"/>
  <c r="C151" i="18"/>
  <c r="B151" i="18"/>
  <c r="H150" i="18"/>
  <c r="I150" i="18" s="1"/>
  <c r="G150" i="18"/>
  <c r="F150" i="18"/>
  <c r="E150" i="18"/>
  <c r="D150" i="18"/>
  <c r="C150" i="18"/>
  <c r="B150" i="18"/>
  <c r="H149" i="18"/>
  <c r="I149" i="18" s="1"/>
  <c r="G149" i="18"/>
  <c r="F149" i="18"/>
  <c r="E149" i="18"/>
  <c r="D149" i="18"/>
  <c r="C149" i="18"/>
  <c r="B149" i="18"/>
  <c r="H148" i="18"/>
  <c r="I148" i="18" s="1"/>
  <c r="G148" i="18"/>
  <c r="F148" i="18"/>
  <c r="E148" i="18"/>
  <c r="D148" i="18"/>
  <c r="C148" i="18"/>
  <c r="B148" i="18"/>
  <c r="H147" i="18"/>
  <c r="I147" i="18" s="1"/>
  <c r="G147" i="18"/>
  <c r="F147" i="18"/>
  <c r="E147" i="18"/>
  <c r="D147" i="18"/>
  <c r="C147" i="18"/>
  <c r="B147" i="18"/>
  <c r="H146" i="18"/>
  <c r="I146" i="18" s="1"/>
  <c r="G146" i="18"/>
  <c r="F146" i="18"/>
  <c r="E146" i="18"/>
  <c r="D146" i="18"/>
  <c r="C146" i="18"/>
  <c r="B146" i="18"/>
  <c r="H145" i="18"/>
  <c r="I145" i="18" s="1"/>
  <c r="G145" i="18"/>
  <c r="F145" i="18"/>
  <c r="E145" i="18"/>
  <c r="D145" i="18"/>
  <c r="C145" i="18"/>
  <c r="B145" i="18"/>
  <c r="H144" i="18"/>
  <c r="I144" i="18" s="1"/>
  <c r="G144" i="18"/>
  <c r="F144" i="18"/>
  <c r="E144" i="18"/>
  <c r="D144" i="18"/>
  <c r="C144" i="18"/>
  <c r="B144" i="18"/>
  <c r="H143" i="18"/>
  <c r="I143" i="18" s="1"/>
  <c r="G143" i="18"/>
  <c r="F143" i="18"/>
  <c r="E143" i="18"/>
  <c r="D143" i="18"/>
  <c r="C143" i="18"/>
  <c r="B143" i="18"/>
  <c r="H142" i="18"/>
  <c r="I142" i="18" s="1"/>
  <c r="G142" i="18"/>
  <c r="F142" i="18"/>
  <c r="E142" i="18"/>
  <c r="D142" i="18"/>
  <c r="C142" i="18"/>
  <c r="B142" i="18"/>
  <c r="H141" i="18"/>
  <c r="I141" i="18" s="1"/>
  <c r="G141" i="18"/>
  <c r="F141" i="18"/>
  <c r="E141" i="18"/>
  <c r="D141" i="18"/>
  <c r="C141" i="18"/>
  <c r="B141" i="18"/>
  <c r="H140" i="18"/>
  <c r="I140" i="18" s="1"/>
  <c r="G140" i="18"/>
  <c r="F140" i="18"/>
  <c r="E140" i="18"/>
  <c r="D140" i="18"/>
  <c r="C140" i="18"/>
  <c r="B140" i="18"/>
  <c r="H139" i="18"/>
  <c r="I139" i="18" s="1"/>
  <c r="G139" i="18"/>
  <c r="F139" i="18"/>
  <c r="E139" i="18"/>
  <c r="D139" i="18"/>
  <c r="C139" i="18"/>
  <c r="B139" i="18"/>
  <c r="H138" i="18"/>
  <c r="I138" i="18" s="1"/>
  <c r="G138" i="18"/>
  <c r="F138" i="18"/>
  <c r="E138" i="18"/>
  <c r="D138" i="18"/>
  <c r="C138" i="18"/>
  <c r="B138" i="18"/>
  <c r="H137" i="18"/>
  <c r="I137" i="18" s="1"/>
  <c r="G137" i="18"/>
  <c r="F137" i="18"/>
  <c r="E137" i="18"/>
  <c r="D137" i="18"/>
  <c r="C137" i="18"/>
  <c r="B137" i="18"/>
  <c r="H136" i="18"/>
  <c r="I136" i="18" s="1"/>
  <c r="G136" i="18"/>
  <c r="F136" i="18"/>
  <c r="E136" i="18"/>
  <c r="D136" i="18"/>
  <c r="C136" i="18"/>
  <c r="B136" i="18"/>
  <c r="H135" i="18"/>
  <c r="I135" i="18" s="1"/>
  <c r="G135" i="18"/>
  <c r="F135" i="18"/>
  <c r="E135" i="18"/>
  <c r="D135" i="18"/>
  <c r="C135" i="18"/>
  <c r="B135" i="18"/>
  <c r="H134" i="18"/>
  <c r="I134" i="18" s="1"/>
  <c r="G134" i="18"/>
  <c r="F134" i="18"/>
  <c r="E134" i="18"/>
  <c r="D134" i="18"/>
  <c r="C134" i="18"/>
  <c r="B134" i="18"/>
  <c r="H133" i="18"/>
  <c r="I133" i="18" s="1"/>
  <c r="G133" i="18"/>
  <c r="F133" i="18"/>
  <c r="E133" i="18"/>
  <c r="D133" i="18"/>
  <c r="C133" i="18"/>
  <c r="B133" i="18"/>
  <c r="H132" i="18"/>
  <c r="I132" i="18" s="1"/>
  <c r="G132" i="18"/>
  <c r="F132" i="18"/>
  <c r="E132" i="18"/>
  <c r="D132" i="18"/>
  <c r="C132" i="18"/>
  <c r="B132" i="18"/>
  <c r="H131" i="18"/>
  <c r="I131" i="18" s="1"/>
  <c r="G131" i="18"/>
  <c r="F131" i="18"/>
  <c r="E131" i="18"/>
  <c r="D131" i="18"/>
  <c r="C131" i="18"/>
  <c r="B131" i="18"/>
  <c r="H130" i="18"/>
  <c r="I130" i="18" s="1"/>
  <c r="G130" i="18"/>
  <c r="F130" i="18"/>
  <c r="E130" i="18"/>
  <c r="D130" i="18"/>
  <c r="C130" i="18"/>
  <c r="B130" i="18"/>
  <c r="H129" i="18"/>
  <c r="I129" i="18" s="1"/>
  <c r="G129" i="18"/>
  <c r="F129" i="18"/>
  <c r="E129" i="18"/>
  <c r="D129" i="18"/>
  <c r="C129" i="18"/>
  <c r="B129" i="18"/>
  <c r="H128" i="18"/>
  <c r="I128" i="18" s="1"/>
  <c r="G128" i="18"/>
  <c r="F128" i="18"/>
  <c r="E128" i="18"/>
  <c r="D128" i="18"/>
  <c r="C128" i="18"/>
  <c r="B128" i="18"/>
  <c r="H127" i="18"/>
  <c r="I127" i="18" s="1"/>
  <c r="G127" i="18"/>
  <c r="F127" i="18"/>
  <c r="E127" i="18"/>
  <c r="D127" i="18"/>
  <c r="C127" i="18"/>
  <c r="B127" i="18"/>
  <c r="H126" i="18"/>
  <c r="I126" i="18" s="1"/>
  <c r="G126" i="18"/>
  <c r="F126" i="18"/>
  <c r="E126" i="18"/>
  <c r="D126" i="18"/>
  <c r="C126" i="18"/>
  <c r="B126" i="18"/>
  <c r="H125" i="18"/>
  <c r="I125" i="18" s="1"/>
  <c r="G125" i="18"/>
  <c r="F125" i="18"/>
  <c r="E125" i="18"/>
  <c r="D125" i="18"/>
  <c r="C125" i="18"/>
  <c r="B125" i="18"/>
  <c r="H124" i="18"/>
  <c r="I124" i="18" s="1"/>
  <c r="G124" i="18"/>
  <c r="F124" i="18"/>
  <c r="E124" i="18"/>
  <c r="D124" i="18"/>
  <c r="C124" i="18"/>
  <c r="B124" i="18"/>
  <c r="H123" i="18"/>
  <c r="I123" i="18" s="1"/>
  <c r="G123" i="18"/>
  <c r="F123" i="18"/>
  <c r="E123" i="18"/>
  <c r="D123" i="18"/>
  <c r="C123" i="18"/>
  <c r="B123" i="18"/>
  <c r="H122" i="18"/>
  <c r="I122" i="18" s="1"/>
  <c r="G122" i="18"/>
  <c r="F122" i="18"/>
  <c r="E122" i="18"/>
  <c r="D122" i="18"/>
  <c r="C122" i="18"/>
  <c r="B122" i="18"/>
  <c r="H121" i="18"/>
  <c r="I121" i="18" s="1"/>
  <c r="G121" i="18"/>
  <c r="F121" i="18"/>
  <c r="E121" i="18"/>
  <c r="D121" i="18"/>
  <c r="C121" i="18"/>
  <c r="B121" i="18"/>
  <c r="H120" i="18"/>
  <c r="I120" i="18" s="1"/>
  <c r="G120" i="18"/>
  <c r="F120" i="18"/>
  <c r="E120" i="18"/>
  <c r="D120" i="18"/>
  <c r="C120" i="18"/>
  <c r="B120" i="18"/>
  <c r="H119" i="18"/>
  <c r="I119" i="18" s="1"/>
  <c r="G119" i="18"/>
  <c r="F119" i="18"/>
  <c r="E119" i="18"/>
  <c r="D119" i="18"/>
  <c r="C119" i="18"/>
  <c r="B119" i="18"/>
  <c r="H118" i="18"/>
  <c r="I118" i="18" s="1"/>
  <c r="G118" i="18"/>
  <c r="F118" i="18"/>
  <c r="E118" i="18"/>
  <c r="D118" i="18"/>
  <c r="C118" i="18"/>
  <c r="B118" i="18"/>
  <c r="H117" i="18"/>
  <c r="I117" i="18" s="1"/>
  <c r="G117" i="18"/>
  <c r="F117" i="18"/>
  <c r="E117" i="18"/>
  <c r="D117" i="18"/>
  <c r="C117" i="18"/>
  <c r="B117" i="18"/>
  <c r="H116" i="18"/>
  <c r="I116" i="18" s="1"/>
  <c r="G116" i="18"/>
  <c r="F116" i="18"/>
  <c r="E116" i="18"/>
  <c r="D116" i="18"/>
  <c r="C116" i="18"/>
  <c r="B116" i="18"/>
  <c r="H115" i="18"/>
  <c r="I115" i="18" s="1"/>
  <c r="G115" i="18"/>
  <c r="F115" i="18"/>
  <c r="E115" i="18"/>
  <c r="D115" i="18"/>
  <c r="C115" i="18"/>
  <c r="B115" i="18"/>
  <c r="H114" i="18"/>
  <c r="I114" i="18" s="1"/>
  <c r="G114" i="18"/>
  <c r="F114" i="18"/>
  <c r="E114" i="18"/>
  <c r="D114" i="18"/>
  <c r="C114" i="18"/>
  <c r="B114" i="18"/>
  <c r="H113" i="18"/>
  <c r="I113" i="18" s="1"/>
  <c r="G113" i="18"/>
  <c r="F113" i="18"/>
  <c r="E113" i="18"/>
  <c r="D113" i="18"/>
  <c r="C113" i="18"/>
  <c r="B113" i="18"/>
  <c r="H112" i="18"/>
  <c r="I112" i="18" s="1"/>
  <c r="G112" i="18"/>
  <c r="F112" i="18"/>
  <c r="E112" i="18"/>
  <c r="D112" i="18"/>
  <c r="C112" i="18"/>
  <c r="B112" i="18"/>
  <c r="H111" i="18"/>
  <c r="I111" i="18" s="1"/>
  <c r="G111" i="18"/>
  <c r="F111" i="18"/>
  <c r="E111" i="18"/>
  <c r="D111" i="18"/>
  <c r="C111" i="18"/>
  <c r="B111" i="18"/>
  <c r="H110" i="18"/>
  <c r="I110" i="18" s="1"/>
  <c r="G110" i="18"/>
  <c r="F110" i="18"/>
  <c r="E110" i="18"/>
  <c r="D110" i="18"/>
  <c r="C110" i="18"/>
  <c r="B110" i="18"/>
  <c r="H109" i="18"/>
  <c r="I109" i="18" s="1"/>
  <c r="G109" i="18"/>
  <c r="F109" i="18"/>
  <c r="E109" i="18"/>
  <c r="D109" i="18"/>
  <c r="C109" i="18"/>
  <c r="B109" i="18"/>
  <c r="H108" i="18"/>
  <c r="I108" i="18" s="1"/>
  <c r="G108" i="18"/>
  <c r="F108" i="18"/>
  <c r="E108" i="18"/>
  <c r="D108" i="18"/>
  <c r="C108" i="18"/>
  <c r="B108" i="18"/>
  <c r="H107" i="18"/>
  <c r="I107" i="18" s="1"/>
  <c r="G107" i="18"/>
  <c r="F107" i="18"/>
  <c r="E107" i="18"/>
  <c r="D107" i="18"/>
  <c r="C107" i="18"/>
  <c r="B107" i="18"/>
  <c r="H106" i="18"/>
  <c r="I106" i="18" s="1"/>
  <c r="G106" i="18"/>
  <c r="F106" i="18"/>
  <c r="E106" i="18"/>
  <c r="D106" i="18"/>
  <c r="C106" i="18"/>
  <c r="B106" i="18"/>
  <c r="H105" i="18"/>
  <c r="I105" i="18" s="1"/>
  <c r="G105" i="18"/>
  <c r="F105" i="18"/>
  <c r="E105" i="18"/>
  <c r="D105" i="18"/>
  <c r="C105" i="18"/>
  <c r="B105" i="18"/>
  <c r="H104" i="18"/>
  <c r="I104" i="18" s="1"/>
  <c r="G104" i="18"/>
  <c r="F104" i="18"/>
  <c r="E104" i="18"/>
  <c r="D104" i="18"/>
  <c r="C104" i="18"/>
  <c r="B104" i="18"/>
  <c r="H103" i="18"/>
  <c r="I103" i="18" s="1"/>
  <c r="G103" i="18"/>
  <c r="F103" i="18"/>
  <c r="E103" i="18"/>
  <c r="D103" i="18"/>
  <c r="C103" i="18"/>
  <c r="B103" i="18"/>
  <c r="H102" i="18"/>
  <c r="I102" i="18" s="1"/>
  <c r="G102" i="18"/>
  <c r="F102" i="18"/>
  <c r="E102" i="18"/>
  <c r="D102" i="18"/>
  <c r="C102" i="18"/>
  <c r="B102" i="18"/>
  <c r="H101" i="18"/>
  <c r="I101" i="18" s="1"/>
  <c r="G101" i="18"/>
  <c r="F101" i="18"/>
  <c r="E101" i="18"/>
  <c r="D101" i="18"/>
  <c r="C101" i="18"/>
  <c r="B101" i="18"/>
  <c r="H100" i="18"/>
  <c r="I100" i="18" s="1"/>
  <c r="G100" i="18"/>
  <c r="F100" i="18"/>
  <c r="E100" i="18"/>
  <c r="D100" i="18"/>
  <c r="C100" i="18"/>
  <c r="B100" i="18"/>
  <c r="H99" i="18"/>
  <c r="I99" i="18" s="1"/>
  <c r="G99" i="18"/>
  <c r="F99" i="18"/>
  <c r="E99" i="18"/>
  <c r="D99" i="18"/>
  <c r="C99" i="18"/>
  <c r="B99" i="18"/>
  <c r="H98" i="18"/>
  <c r="I98" i="18" s="1"/>
  <c r="G98" i="18"/>
  <c r="F98" i="18"/>
  <c r="E98" i="18"/>
  <c r="D98" i="18"/>
  <c r="C98" i="18"/>
  <c r="B98" i="18"/>
  <c r="H97" i="18"/>
  <c r="I97" i="18" s="1"/>
  <c r="G97" i="18"/>
  <c r="F97" i="18"/>
  <c r="E97" i="18"/>
  <c r="D97" i="18"/>
  <c r="C97" i="18"/>
  <c r="B97" i="18"/>
  <c r="H96" i="18"/>
  <c r="I96" i="18" s="1"/>
  <c r="G96" i="18"/>
  <c r="F96" i="18"/>
  <c r="E96" i="18"/>
  <c r="D96" i="18"/>
  <c r="C96" i="18"/>
  <c r="B96" i="18"/>
  <c r="H95" i="18"/>
  <c r="I95" i="18" s="1"/>
  <c r="G95" i="18"/>
  <c r="F95" i="18"/>
  <c r="E95" i="18"/>
  <c r="D95" i="18"/>
  <c r="C95" i="18"/>
  <c r="B95" i="18"/>
  <c r="H94" i="18"/>
  <c r="I94" i="18" s="1"/>
  <c r="G94" i="18"/>
  <c r="F94" i="18"/>
  <c r="E94" i="18"/>
  <c r="D94" i="18"/>
  <c r="C94" i="18"/>
  <c r="B94" i="18"/>
  <c r="H93" i="18"/>
  <c r="I93" i="18" s="1"/>
  <c r="G93" i="18"/>
  <c r="F93" i="18"/>
  <c r="E93" i="18"/>
  <c r="D93" i="18"/>
  <c r="C93" i="18"/>
  <c r="B93" i="18"/>
  <c r="H92" i="18"/>
  <c r="I92" i="18" s="1"/>
  <c r="G92" i="18"/>
  <c r="F92" i="18"/>
  <c r="E92" i="18"/>
  <c r="D92" i="18"/>
  <c r="C92" i="18"/>
  <c r="B92" i="18"/>
  <c r="H91" i="18"/>
  <c r="I91" i="18" s="1"/>
  <c r="G91" i="18"/>
  <c r="F91" i="18"/>
  <c r="E91" i="18"/>
  <c r="D91" i="18"/>
  <c r="C91" i="18"/>
  <c r="B91" i="18"/>
  <c r="H90" i="18"/>
  <c r="I90" i="18" s="1"/>
  <c r="G90" i="18"/>
  <c r="F90" i="18"/>
  <c r="E90" i="18"/>
  <c r="D90" i="18"/>
  <c r="C90" i="18"/>
  <c r="B90" i="18"/>
  <c r="H89" i="18"/>
  <c r="I89" i="18" s="1"/>
  <c r="G89" i="18"/>
  <c r="F89" i="18"/>
  <c r="E89" i="18"/>
  <c r="D89" i="18"/>
  <c r="C89" i="18"/>
  <c r="B89" i="18"/>
  <c r="H88" i="18"/>
  <c r="I88" i="18" s="1"/>
  <c r="G88" i="18"/>
  <c r="F88" i="18"/>
  <c r="E88" i="18"/>
  <c r="D88" i="18"/>
  <c r="C88" i="18"/>
  <c r="B88" i="18"/>
  <c r="H87" i="18"/>
  <c r="I87" i="18" s="1"/>
  <c r="G87" i="18"/>
  <c r="F87" i="18"/>
  <c r="E87" i="18"/>
  <c r="D87" i="18"/>
  <c r="C87" i="18"/>
  <c r="B87" i="18"/>
  <c r="H86" i="18"/>
  <c r="I86" i="18" s="1"/>
  <c r="G86" i="18"/>
  <c r="F86" i="18"/>
  <c r="E86" i="18"/>
  <c r="D86" i="18"/>
  <c r="C86" i="18"/>
  <c r="B86" i="18"/>
  <c r="H85" i="18"/>
  <c r="I85" i="18" s="1"/>
  <c r="G85" i="18"/>
  <c r="F85" i="18"/>
  <c r="E85" i="18"/>
  <c r="D85" i="18"/>
  <c r="C85" i="18"/>
  <c r="B85" i="18"/>
  <c r="H84" i="18"/>
  <c r="I84" i="18" s="1"/>
  <c r="G84" i="18"/>
  <c r="F84" i="18"/>
  <c r="E84" i="18"/>
  <c r="D84" i="18"/>
  <c r="C84" i="18"/>
  <c r="B84" i="18"/>
  <c r="H83" i="18"/>
  <c r="I83" i="18" s="1"/>
  <c r="G83" i="18"/>
  <c r="F83" i="18"/>
  <c r="E83" i="18"/>
  <c r="D83" i="18"/>
  <c r="C83" i="18"/>
  <c r="B83" i="18"/>
  <c r="H82" i="18"/>
  <c r="I82" i="18" s="1"/>
  <c r="G82" i="18"/>
  <c r="F82" i="18"/>
  <c r="E82" i="18"/>
  <c r="D82" i="18"/>
  <c r="C82" i="18"/>
  <c r="B82" i="18"/>
  <c r="H81" i="18"/>
  <c r="I81" i="18" s="1"/>
  <c r="G81" i="18"/>
  <c r="F81" i="18"/>
  <c r="E81" i="18"/>
  <c r="D81" i="18"/>
  <c r="C81" i="18"/>
  <c r="B81" i="18"/>
  <c r="H80" i="18"/>
  <c r="I80" i="18" s="1"/>
  <c r="G80" i="18"/>
  <c r="F80" i="18"/>
  <c r="E80" i="18"/>
  <c r="D80" i="18"/>
  <c r="C80" i="18"/>
  <c r="B80" i="18"/>
  <c r="H79" i="18"/>
  <c r="I79" i="18" s="1"/>
  <c r="G79" i="18"/>
  <c r="F79" i="18"/>
  <c r="E79" i="18"/>
  <c r="D79" i="18"/>
  <c r="C79" i="18"/>
  <c r="B79" i="18"/>
  <c r="H78" i="18"/>
  <c r="I78" i="18" s="1"/>
  <c r="G78" i="18"/>
  <c r="F78" i="18"/>
  <c r="E78" i="18"/>
  <c r="D78" i="18"/>
  <c r="C78" i="18"/>
  <c r="B78" i="18"/>
  <c r="H77" i="18"/>
  <c r="I77" i="18" s="1"/>
  <c r="G77" i="18"/>
  <c r="F77" i="18"/>
  <c r="E77" i="18"/>
  <c r="D77" i="18"/>
  <c r="C77" i="18"/>
  <c r="B77" i="18"/>
  <c r="H76" i="18"/>
  <c r="I76" i="18" s="1"/>
  <c r="G76" i="18"/>
  <c r="F76" i="18"/>
  <c r="E76" i="18"/>
  <c r="D76" i="18"/>
  <c r="C76" i="18"/>
  <c r="B76" i="18"/>
  <c r="H75" i="18"/>
  <c r="I75" i="18" s="1"/>
  <c r="G75" i="18"/>
  <c r="F75" i="18"/>
  <c r="E75" i="18"/>
  <c r="D75" i="18"/>
  <c r="C75" i="18"/>
  <c r="B75" i="18"/>
  <c r="H74" i="18"/>
  <c r="I74" i="18" s="1"/>
  <c r="G74" i="18"/>
  <c r="F74" i="18"/>
  <c r="E74" i="18"/>
  <c r="D74" i="18"/>
  <c r="C74" i="18"/>
  <c r="B74" i="18"/>
  <c r="H73" i="18"/>
  <c r="I73" i="18" s="1"/>
  <c r="G73" i="18"/>
  <c r="F73" i="18"/>
  <c r="E73" i="18"/>
  <c r="D73" i="18"/>
  <c r="C73" i="18"/>
  <c r="B73" i="18"/>
  <c r="H72" i="18"/>
  <c r="I72" i="18" s="1"/>
  <c r="G72" i="18"/>
  <c r="F72" i="18"/>
  <c r="E72" i="18"/>
  <c r="D72" i="18"/>
  <c r="C72" i="18"/>
  <c r="B72" i="18"/>
  <c r="H71" i="18"/>
  <c r="I71" i="18" s="1"/>
  <c r="G71" i="18"/>
  <c r="F71" i="18"/>
  <c r="E71" i="18"/>
  <c r="D71" i="18"/>
  <c r="C71" i="18"/>
  <c r="B71" i="18"/>
  <c r="H70" i="18"/>
  <c r="I70" i="18" s="1"/>
  <c r="G70" i="18"/>
  <c r="F70" i="18"/>
  <c r="E70" i="18"/>
  <c r="D70" i="18"/>
  <c r="C70" i="18"/>
  <c r="B70" i="18"/>
  <c r="H69" i="18"/>
  <c r="I69" i="18" s="1"/>
  <c r="G69" i="18"/>
  <c r="F69" i="18"/>
  <c r="E69" i="18"/>
  <c r="D69" i="18"/>
  <c r="C69" i="18"/>
  <c r="B69" i="18"/>
  <c r="H68" i="18"/>
  <c r="I68" i="18" s="1"/>
  <c r="G68" i="18"/>
  <c r="F68" i="18"/>
  <c r="E68" i="18"/>
  <c r="D68" i="18"/>
  <c r="C68" i="18"/>
  <c r="B68" i="18"/>
  <c r="H67" i="18"/>
  <c r="I67" i="18" s="1"/>
  <c r="G67" i="18"/>
  <c r="F67" i="18"/>
  <c r="E67" i="18"/>
  <c r="D67" i="18"/>
  <c r="C67" i="18"/>
  <c r="B67" i="18"/>
  <c r="H66" i="18"/>
  <c r="I66" i="18" s="1"/>
  <c r="G66" i="18"/>
  <c r="F66" i="18"/>
  <c r="E66" i="18"/>
  <c r="D66" i="18"/>
  <c r="C66" i="18"/>
  <c r="B66" i="18"/>
  <c r="H65" i="18"/>
  <c r="I65" i="18" s="1"/>
  <c r="G65" i="18"/>
  <c r="F65" i="18"/>
  <c r="E65" i="18"/>
  <c r="D65" i="18"/>
  <c r="C65" i="18"/>
  <c r="B65" i="18"/>
  <c r="H64" i="18"/>
  <c r="I64" i="18" s="1"/>
  <c r="G64" i="18"/>
  <c r="F64" i="18"/>
  <c r="E64" i="18"/>
  <c r="D64" i="18"/>
  <c r="C64" i="18"/>
  <c r="B64" i="18"/>
  <c r="H63" i="18"/>
  <c r="I63" i="18" s="1"/>
  <c r="G63" i="18"/>
  <c r="F63" i="18"/>
  <c r="E63" i="18"/>
  <c r="D63" i="18"/>
  <c r="C63" i="18"/>
  <c r="B63" i="18"/>
  <c r="H62" i="18"/>
  <c r="I62" i="18" s="1"/>
  <c r="G62" i="18"/>
  <c r="F62" i="18"/>
  <c r="E62" i="18"/>
  <c r="D62" i="18"/>
  <c r="C62" i="18"/>
  <c r="B62" i="18"/>
  <c r="H61" i="18"/>
  <c r="I61" i="18" s="1"/>
  <c r="G61" i="18"/>
  <c r="F61" i="18"/>
  <c r="E61" i="18"/>
  <c r="D61" i="18"/>
  <c r="C61" i="18"/>
  <c r="B61" i="18"/>
  <c r="H60" i="18"/>
  <c r="G60" i="18"/>
  <c r="F60" i="18"/>
  <c r="E60" i="18"/>
  <c r="D60" i="18"/>
  <c r="C60" i="18"/>
  <c r="B60" i="18"/>
  <c r="H59" i="18"/>
  <c r="I59" i="18" s="1"/>
  <c r="G59" i="18"/>
  <c r="F59" i="18"/>
  <c r="E59" i="18"/>
  <c r="D59" i="18"/>
  <c r="C59" i="18"/>
  <c r="B59" i="18"/>
  <c r="H58" i="18"/>
  <c r="I58" i="18" s="1"/>
  <c r="G58" i="18"/>
  <c r="F58" i="18"/>
  <c r="E58" i="18"/>
  <c r="D58" i="18"/>
  <c r="C58" i="18"/>
  <c r="B58" i="18"/>
  <c r="H57" i="18"/>
  <c r="I57" i="18" s="1"/>
  <c r="G57" i="18"/>
  <c r="F57" i="18"/>
  <c r="E57" i="18"/>
  <c r="D57" i="18"/>
  <c r="C57" i="18"/>
  <c r="B57" i="18"/>
  <c r="H56" i="18"/>
  <c r="I56" i="18" s="1"/>
  <c r="G56" i="18"/>
  <c r="F56" i="18"/>
  <c r="E56" i="18"/>
  <c r="D56" i="18"/>
  <c r="C56" i="18"/>
  <c r="B56" i="18"/>
  <c r="H55" i="18"/>
  <c r="I55" i="18" s="1"/>
  <c r="G55" i="18"/>
  <c r="F55" i="18"/>
  <c r="E55" i="18"/>
  <c r="D55" i="18"/>
  <c r="C55" i="18"/>
  <c r="B55" i="18"/>
  <c r="H54" i="18"/>
  <c r="I54" i="18" s="1"/>
  <c r="G54" i="18"/>
  <c r="F54" i="18"/>
  <c r="E54" i="18"/>
  <c r="D54" i="18"/>
  <c r="C54" i="18"/>
  <c r="B54" i="18"/>
  <c r="H53" i="18"/>
  <c r="I53" i="18" s="1"/>
  <c r="G53" i="18"/>
  <c r="F53" i="18"/>
  <c r="E53" i="18"/>
  <c r="D53" i="18"/>
  <c r="C53" i="18"/>
  <c r="B53" i="18"/>
  <c r="H52" i="18"/>
  <c r="I52" i="18" s="1"/>
  <c r="G52" i="18"/>
  <c r="F52" i="18"/>
  <c r="E52" i="18"/>
  <c r="D52" i="18"/>
  <c r="C52" i="18"/>
  <c r="B52" i="18"/>
  <c r="H51" i="18"/>
  <c r="I51" i="18" s="1"/>
  <c r="G51" i="18"/>
  <c r="F51" i="18"/>
  <c r="E51" i="18"/>
  <c r="D51" i="18"/>
  <c r="C51" i="18"/>
  <c r="B51" i="18"/>
  <c r="H50" i="18"/>
  <c r="I50" i="18" s="1"/>
  <c r="G50" i="18"/>
  <c r="F50" i="18"/>
  <c r="E50" i="18"/>
  <c r="D50" i="18"/>
  <c r="C50" i="18"/>
  <c r="B50" i="18"/>
  <c r="H49" i="18"/>
  <c r="I49" i="18" s="1"/>
  <c r="G49" i="18"/>
  <c r="F49" i="18"/>
  <c r="E49" i="18"/>
  <c r="D49" i="18"/>
  <c r="C49" i="18"/>
  <c r="B49" i="18"/>
  <c r="H48" i="18"/>
  <c r="I48" i="18" s="1"/>
  <c r="G48" i="18"/>
  <c r="F48" i="18"/>
  <c r="E48" i="18"/>
  <c r="D48" i="18"/>
  <c r="C48" i="18"/>
  <c r="B48" i="18"/>
  <c r="H47" i="18"/>
  <c r="I47" i="18" s="1"/>
  <c r="G47" i="18"/>
  <c r="F47" i="18"/>
  <c r="E47" i="18"/>
  <c r="D47" i="18"/>
  <c r="C47" i="18"/>
  <c r="B47" i="18"/>
  <c r="H46" i="18"/>
  <c r="I46" i="18" s="1"/>
  <c r="G46" i="18"/>
  <c r="F46" i="18"/>
  <c r="E46" i="18"/>
  <c r="D46" i="18"/>
  <c r="C46" i="18"/>
  <c r="B46" i="18"/>
  <c r="H45" i="18"/>
  <c r="I45" i="18" s="1"/>
  <c r="G45" i="18"/>
  <c r="F45" i="18"/>
  <c r="E45" i="18"/>
  <c r="D45" i="18"/>
  <c r="C45" i="18"/>
  <c r="B45" i="18"/>
  <c r="H44" i="18"/>
  <c r="I44" i="18" s="1"/>
  <c r="G44" i="18"/>
  <c r="F44" i="18"/>
  <c r="E44" i="18"/>
  <c r="D44" i="18"/>
  <c r="C44" i="18"/>
  <c r="B44" i="18"/>
  <c r="H43" i="18"/>
  <c r="I43" i="18" s="1"/>
  <c r="G43" i="18"/>
  <c r="F43" i="18"/>
  <c r="E43" i="18"/>
  <c r="D43" i="18"/>
  <c r="C43" i="18"/>
  <c r="B43" i="18"/>
  <c r="H42" i="18"/>
  <c r="I42" i="18" s="1"/>
  <c r="G42" i="18"/>
  <c r="F42" i="18"/>
  <c r="E42" i="18"/>
  <c r="D42" i="18"/>
  <c r="C42" i="18"/>
  <c r="B42" i="18"/>
  <c r="H41" i="18"/>
  <c r="I41" i="18" s="1"/>
  <c r="G41" i="18"/>
  <c r="F41" i="18"/>
  <c r="E41" i="18"/>
  <c r="D41" i="18"/>
  <c r="C41" i="18"/>
  <c r="B41" i="18"/>
  <c r="H40" i="18"/>
  <c r="I40" i="18" s="1"/>
  <c r="G40" i="18"/>
  <c r="F40" i="18"/>
  <c r="E40" i="18"/>
  <c r="D40" i="18"/>
  <c r="C40" i="18"/>
  <c r="B40" i="18"/>
  <c r="H39" i="18"/>
  <c r="I39" i="18" s="1"/>
  <c r="G39" i="18"/>
  <c r="F39" i="18"/>
  <c r="E39" i="18"/>
  <c r="D39" i="18"/>
  <c r="C39" i="18"/>
  <c r="B39" i="18"/>
  <c r="H38" i="18"/>
  <c r="I38" i="18" s="1"/>
  <c r="G38" i="18"/>
  <c r="F38" i="18"/>
  <c r="E38" i="18"/>
  <c r="D38" i="18"/>
  <c r="C38" i="18"/>
  <c r="B38" i="18"/>
  <c r="H37" i="18"/>
  <c r="I37" i="18" s="1"/>
  <c r="G37" i="18"/>
  <c r="F37" i="18"/>
  <c r="E37" i="18"/>
  <c r="D37" i="18"/>
  <c r="C37" i="18"/>
  <c r="B37" i="18"/>
  <c r="H36" i="18"/>
  <c r="I36" i="18" s="1"/>
  <c r="G36" i="18"/>
  <c r="F36" i="18"/>
  <c r="E36" i="18"/>
  <c r="D36" i="18"/>
  <c r="C36" i="18"/>
  <c r="B36" i="18"/>
  <c r="H35" i="18"/>
  <c r="I35" i="18" s="1"/>
  <c r="G35" i="18"/>
  <c r="F35" i="18"/>
  <c r="E35" i="18"/>
  <c r="D35" i="18"/>
  <c r="C35" i="18"/>
  <c r="B35" i="18"/>
  <c r="H34" i="18"/>
  <c r="I34" i="18" s="1"/>
  <c r="G34" i="18"/>
  <c r="F34" i="18"/>
  <c r="E34" i="18"/>
  <c r="D34" i="18"/>
  <c r="C34" i="18"/>
  <c r="B34" i="18"/>
  <c r="H33" i="18"/>
  <c r="I33" i="18" s="1"/>
  <c r="G33" i="18"/>
  <c r="F33" i="18"/>
  <c r="E33" i="18"/>
  <c r="D33" i="18"/>
  <c r="C33" i="18"/>
  <c r="B33" i="18"/>
  <c r="H32" i="18"/>
  <c r="I32" i="18" s="1"/>
  <c r="G32" i="18"/>
  <c r="F32" i="18"/>
  <c r="E32" i="18"/>
  <c r="D32" i="18"/>
  <c r="C32" i="18"/>
  <c r="B32" i="18"/>
  <c r="H31" i="18"/>
  <c r="I31" i="18" s="1"/>
  <c r="G31" i="18"/>
  <c r="F31" i="18"/>
  <c r="E31" i="18"/>
  <c r="D31" i="18"/>
  <c r="C31" i="18"/>
  <c r="B31" i="18"/>
  <c r="H30" i="18"/>
  <c r="I30" i="18" s="1"/>
  <c r="G30" i="18"/>
  <c r="F30" i="18"/>
  <c r="E30" i="18"/>
  <c r="D30" i="18"/>
  <c r="C30" i="18"/>
  <c r="B30" i="18"/>
  <c r="H29" i="18"/>
  <c r="I29" i="18" s="1"/>
  <c r="G29" i="18"/>
  <c r="F29" i="18"/>
  <c r="E29" i="18"/>
  <c r="D29" i="18"/>
  <c r="C29" i="18"/>
  <c r="B29" i="18"/>
  <c r="H28" i="18"/>
  <c r="I28" i="18" s="1"/>
  <c r="G28" i="18"/>
  <c r="F28" i="18"/>
  <c r="E28" i="18"/>
  <c r="D28" i="18"/>
  <c r="C28" i="18"/>
  <c r="B28" i="18"/>
  <c r="H27" i="18"/>
  <c r="I27" i="18" s="1"/>
  <c r="G27" i="18"/>
  <c r="F27" i="18"/>
  <c r="E27" i="18"/>
  <c r="D27" i="18"/>
  <c r="C27" i="18"/>
  <c r="B27" i="18"/>
  <c r="H26" i="18"/>
  <c r="I26" i="18" s="1"/>
  <c r="G26" i="18"/>
  <c r="F26" i="18"/>
  <c r="E26" i="18"/>
  <c r="D26" i="18"/>
  <c r="C26" i="18"/>
  <c r="B26" i="18"/>
  <c r="H25" i="18"/>
  <c r="I25" i="18" s="1"/>
  <c r="G25" i="18"/>
  <c r="F25" i="18"/>
  <c r="E25" i="18"/>
  <c r="D25" i="18"/>
  <c r="C25" i="18"/>
  <c r="B25" i="18"/>
  <c r="H24" i="18"/>
  <c r="I24" i="18" s="1"/>
  <c r="G24" i="18"/>
  <c r="F24" i="18"/>
  <c r="E24" i="18"/>
  <c r="D24" i="18"/>
  <c r="C24" i="18"/>
  <c r="B24" i="18"/>
  <c r="H23" i="18"/>
  <c r="I23" i="18" s="1"/>
  <c r="G23" i="18"/>
  <c r="F23" i="18"/>
  <c r="E23" i="18"/>
  <c r="D23" i="18"/>
  <c r="C23" i="18"/>
  <c r="B23" i="18"/>
  <c r="H22" i="18"/>
  <c r="I22" i="18" s="1"/>
  <c r="G22" i="18"/>
  <c r="F22" i="18"/>
  <c r="E22" i="18"/>
  <c r="D22" i="18"/>
  <c r="C22" i="18"/>
  <c r="B22" i="18"/>
  <c r="H21" i="18"/>
  <c r="I21" i="18" s="1"/>
  <c r="G21" i="18"/>
  <c r="F21" i="18"/>
  <c r="E21" i="18"/>
  <c r="D21" i="18"/>
  <c r="C21" i="18"/>
  <c r="B21" i="18"/>
  <c r="H20" i="18"/>
  <c r="I20" i="18" s="1"/>
  <c r="G20" i="18"/>
  <c r="F20" i="18"/>
  <c r="E20" i="18"/>
  <c r="D20" i="18"/>
  <c r="C20" i="18"/>
  <c r="B20" i="18"/>
  <c r="H19" i="18"/>
  <c r="I19" i="18" s="1"/>
  <c r="G19" i="18"/>
  <c r="F19" i="18"/>
  <c r="E19" i="18"/>
  <c r="D19" i="18"/>
  <c r="C19" i="18"/>
  <c r="B19" i="18"/>
  <c r="H18" i="18"/>
  <c r="I18" i="18" s="1"/>
  <c r="G18" i="18"/>
  <c r="F18" i="18"/>
  <c r="E18" i="18"/>
  <c r="D18" i="18"/>
  <c r="C18" i="18"/>
  <c r="B18" i="18"/>
  <c r="H17" i="18"/>
  <c r="I17" i="18" s="1"/>
  <c r="G17" i="18"/>
  <c r="F17" i="18"/>
  <c r="E17" i="18"/>
  <c r="D17" i="18"/>
  <c r="C17" i="18"/>
  <c r="B17" i="18"/>
  <c r="H16" i="18"/>
  <c r="I16" i="18" s="1"/>
  <c r="G16" i="18"/>
  <c r="F16" i="18"/>
  <c r="E16" i="18"/>
  <c r="D16" i="18"/>
  <c r="C16" i="18"/>
  <c r="B16" i="18"/>
  <c r="H15" i="18"/>
  <c r="I15" i="18" s="1"/>
  <c r="G15" i="18"/>
  <c r="F15" i="18"/>
  <c r="E15" i="18"/>
  <c r="D15" i="18"/>
  <c r="C15" i="18"/>
  <c r="B15" i="18"/>
  <c r="H14" i="18"/>
  <c r="I14" i="18" s="1"/>
  <c r="G14" i="18"/>
  <c r="F14" i="18"/>
  <c r="E14" i="18"/>
  <c r="D14" i="18"/>
  <c r="C14" i="18"/>
  <c r="B14" i="18"/>
  <c r="H13" i="18"/>
  <c r="I13" i="18" s="1"/>
  <c r="G13" i="18"/>
  <c r="F13" i="18"/>
  <c r="E13" i="18"/>
  <c r="D13" i="18"/>
  <c r="C13" i="18"/>
  <c r="B13" i="18"/>
  <c r="H12" i="18"/>
  <c r="I12" i="18" s="1"/>
  <c r="G12" i="18"/>
  <c r="F12" i="18"/>
  <c r="E12" i="18"/>
  <c r="D12" i="18"/>
  <c r="C12" i="18"/>
  <c r="B12" i="18"/>
  <c r="H11" i="18"/>
  <c r="I11" i="18" s="1"/>
  <c r="G11" i="18"/>
  <c r="F11" i="18"/>
  <c r="E11" i="18"/>
  <c r="D11" i="18"/>
  <c r="C11" i="18"/>
  <c r="B11" i="18"/>
  <c r="H10" i="18"/>
  <c r="I10" i="18" s="1"/>
  <c r="G10" i="18"/>
  <c r="F10" i="18"/>
  <c r="E10" i="18"/>
  <c r="D10" i="18"/>
  <c r="C10" i="18"/>
  <c r="B10" i="18"/>
  <c r="H9" i="18"/>
  <c r="I9" i="18" s="1"/>
  <c r="G9" i="18"/>
  <c r="F9" i="18"/>
  <c r="E9" i="18"/>
  <c r="D9" i="18"/>
  <c r="C9" i="18"/>
  <c r="B9" i="18"/>
  <c r="H8" i="18"/>
  <c r="I8" i="18" s="1"/>
  <c r="G8" i="18"/>
  <c r="F8" i="18"/>
  <c r="E8" i="18"/>
  <c r="D8" i="18"/>
  <c r="C8" i="18"/>
  <c r="B8" i="18"/>
  <c r="H7" i="18"/>
  <c r="I7" i="18" s="1"/>
  <c r="G7" i="18"/>
  <c r="F7" i="18"/>
  <c r="E7" i="18"/>
  <c r="D7" i="18"/>
  <c r="C7" i="18"/>
  <c r="B7" i="18"/>
  <c r="H6" i="18"/>
  <c r="I6" i="18" s="1"/>
  <c r="G6" i="18"/>
  <c r="F6" i="18"/>
  <c r="E6" i="18"/>
  <c r="D6" i="18"/>
  <c r="C6" i="18"/>
  <c r="B6" i="18"/>
  <c r="H5" i="18"/>
  <c r="I5" i="18" s="1"/>
  <c r="G5" i="18"/>
  <c r="F5" i="18"/>
  <c r="E5" i="18"/>
  <c r="D5" i="18"/>
  <c r="C5" i="18"/>
  <c r="B5" i="18"/>
  <c r="H4" i="18"/>
  <c r="I4" i="18" s="1"/>
  <c r="G4" i="18"/>
  <c r="F4" i="18"/>
  <c r="E4" i="18"/>
  <c r="D4" i="18"/>
  <c r="C4" i="18"/>
  <c r="B4" i="18"/>
  <c r="H3" i="18"/>
  <c r="I3" i="18" s="1"/>
  <c r="G3" i="18"/>
  <c r="F3" i="18"/>
  <c r="E3" i="18"/>
  <c r="D3" i="18"/>
  <c r="C3" i="18"/>
  <c r="B3" i="18"/>
  <c r="H2" i="18"/>
  <c r="I2" i="18" s="1"/>
  <c r="G2" i="18"/>
  <c r="F2" i="18"/>
  <c r="E2" i="18"/>
  <c r="D2" i="18"/>
  <c r="C2" i="18"/>
  <c r="B2" i="18"/>
  <c r="C5" i="1"/>
  <c r="F4" i="1"/>
  <c r="C4" i="1"/>
  <c r="I60" i="18" l="1"/>
  <c r="I374" i="18" l="1"/>
  <c r="B149" i="1" l="1"/>
  <c r="H149" i="1"/>
  <c r="A150" i="1"/>
  <c r="B150" i="1"/>
  <c r="C150" i="1"/>
  <c r="D150" i="1"/>
  <c r="E150" i="1"/>
  <c r="F150" i="1"/>
  <c r="G150" i="1"/>
  <c r="I1224" i="18"/>
  <c r="H1204" i="1"/>
  <c r="A1205" i="1"/>
  <c r="B1205" i="1"/>
  <c r="C1205" i="1"/>
  <c r="D1205" i="1"/>
  <c r="E1205" i="1"/>
  <c r="F1205" i="1"/>
  <c r="G1205" i="1"/>
  <c r="H1205" i="1"/>
  <c r="A1206" i="1"/>
  <c r="B1206" i="1"/>
  <c r="C1206" i="1"/>
  <c r="D1206" i="1"/>
  <c r="E1206" i="1"/>
  <c r="F1206" i="1"/>
  <c r="G1206" i="1"/>
  <c r="H1206" i="1"/>
  <c r="A1207" i="1"/>
  <c r="B1207" i="1"/>
  <c r="C1207" i="1"/>
  <c r="D1207" i="1"/>
  <c r="E1207" i="1"/>
  <c r="F1207" i="1"/>
  <c r="G1207" i="1"/>
  <c r="H1207" i="1"/>
  <c r="A1208" i="1"/>
  <c r="B1208" i="1"/>
  <c r="C1208" i="1"/>
  <c r="D1208" i="1"/>
  <c r="E1208" i="1"/>
  <c r="F1208" i="1"/>
  <c r="A44" i="1" l="1"/>
  <c r="C38" i="1"/>
  <c r="F36" i="1"/>
  <c r="G34" i="1"/>
  <c r="F30" i="1"/>
  <c r="F29" i="1"/>
  <c r="F26" i="1"/>
  <c r="G25" i="1"/>
  <c r="F23" i="1"/>
  <c r="G22" i="1"/>
  <c r="G21" i="1"/>
  <c r="F19" i="1"/>
  <c r="C17" i="1"/>
  <c r="F1009" i="1"/>
  <c r="G146" i="1"/>
  <c r="H146" i="1"/>
  <c r="A147" i="1"/>
  <c r="B147" i="1"/>
  <c r="C147" i="1"/>
  <c r="D147" i="1"/>
  <c r="E147" i="1"/>
  <c r="G147" i="1"/>
  <c r="B148" i="1"/>
  <c r="E148" i="1"/>
  <c r="A149" i="1"/>
  <c r="D149" i="1"/>
  <c r="F149" i="1"/>
  <c r="H150" i="1"/>
  <c r="A151" i="1"/>
  <c r="B151" i="1"/>
  <c r="C151" i="1"/>
  <c r="D151" i="1"/>
  <c r="E151" i="1"/>
  <c r="F151" i="1"/>
  <c r="G151" i="1"/>
  <c r="H151" i="1"/>
  <c r="A152" i="1"/>
  <c r="B152" i="1"/>
  <c r="C152" i="1"/>
  <c r="D152" i="1"/>
  <c r="E152" i="1"/>
  <c r="F152" i="1"/>
  <c r="G152" i="1"/>
  <c r="A153" i="1"/>
  <c r="B153" i="1"/>
  <c r="C153" i="1"/>
  <c r="D153" i="1"/>
  <c r="E153" i="1"/>
  <c r="F153" i="1"/>
  <c r="G153" i="1"/>
  <c r="H153" i="1"/>
  <c r="A154" i="1"/>
  <c r="B154" i="1"/>
  <c r="C154" i="1"/>
  <c r="D154" i="1"/>
  <c r="A449" i="1"/>
  <c r="B449" i="1"/>
  <c r="C449" i="1"/>
  <c r="G1208" i="1"/>
  <c r="H1208" i="1"/>
  <c r="A1209" i="1"/>
  <c r="B1209" i="1"/>
  <c r="C1209" i="1"/>
  <c r="D1209" i="1"/>
  <c r="E1209" i="1"/>
  <c r="F1209" i="1"/>
  <c r="G1210" i="1"/>
  <c r="H1210" i="1"/>
  <c r="A1211" i="1"/>
  <c r="B1211" i="1"/>
  <c r="C1211" i="1"/>
  <c r="D1211" i="1"/>
  <c r="E1211" i="1"/>
  <c r="E1213" i="1"/>
  <c r="G1213" i="1"/>
  <c r="A1214" i="1"/>
  <c r="C1214" i="1"/>
  <c r="E1214" i="1"/>
  <c r="G1214" i="1"/>
  <c r="A1215" i="1"/>
  <c r="C1215" i="1"/>
  <c r="E1215" i="1"/>
  <c r="H147" i="1"/>
  <c r="C148" i="1"/>
  <c r="F148" i="1"/>
  <c r="F1211" i="1"/>
  <c r="G1211" i="1"/>
  <c r="H1211" i="1"/>
  <c r="A1212" i="1"/>
  <c r="B1212" i="1"/>
  <c r="C1212" i="1"/>
  <c r="D1212" i="1"/>
  <c r="E1212" i="1"/>
  <c r="F1212" i="1"/>
  <c r="G1212" i="1"/>
  <c r="H1212" i="1"/>
  <c r="A1213" i="1"/>
  <c r="B1213" i="1"/>
  <c r="C1213" i="1"/>
  <c r="D1213" i="1"/>
  <c r="F1213" i="1"/>
  <c r="H1213" i="1"/>
  <c r="B1214" i="1"/>
  <c r="D1214" i="1"/>
  <c r="F1214" i="1"/>
  <c r="H1214" i="1"/>
  <c r="B1215" i="1"/>
  <c r="D1215" i="1"/>
  <c r="F147" i="1"/>
  <c r="A148" i="1"/>
  <c r="D148" i="1"/>
  <c r="G148" i="1"/>
  <c r="C149" i="1"/>
  <c r="E149" i="1"/>
  <c r="G149" i="1"/>
  <c r="H148" i="1"/>
  <c r="H152" i="1"/>
  <c r="D449" i="1"/>
  <c r="A166" i="1"/>
  <c r="A8" i="1"/>
  <c r="D8" i="1"/>
  <c r="E8" i="1"/>
  <c r="G8" i="1"/>
  <c r="H385" i="1"/>
  <c r="B385" i="1"/>
  <c r="F383" i="1"/>
  <c r="B383" i="1"/>
  <c r="C382" i="1"/>
  <c r="H381" i="1"/>
  <c r="C380" i="1"/>
  <c r="H379" i="1"/>
  <c r="G378" i="1"/>
  <c r="E377" i="1"/>
  <c r="A377" i="1"/>
  <c r="H375" i="1"/>
  <c r="D375" i="1"/>
  <c r="G374" i="1"/>
  <c r="F9" i="1"/>
  <c r="C9" i="1"/>
  <c r="D9" i="1"/>
  <c r="C311" i="1"/>
  <c r="A308" i="1"/>
  <c r="A307" i="1"/>
  <c r="C306" i="1"/>
  <c r="F304" i="1"/>
  <c r="F300" i="1"/>
  <c r="A300" i="1"/>
  <c r="A299" i="1"/>
  <c r="D297" i="1"/>
  <c r="E296" i="1"/>
  <c r="D295" i="1"/>
  <c r="C294" i="1"/>
  <c r="E292" i="1"/>
  <c r="E289" i="1"/>
  <c r="C284" i="1"/>
  <c r="H281" i="1"/>
  <c r="C279" i="1"/>
  <c r="D275" i="1"/>
  <c r="F273" i="1"/>
  <c r="D272" i="1"/>
  <c r="A270" i="1"/>
  <c r="F268" i="1"/>
  <c r="D267" i="1"/>
  <c r="F263" i="1"/>
  <c r="E73" i="1"/>
  <c r="D61" i="1"/>
  <c r="G57" i="1"/>
  <c r="F52" i="1"/>
  <c r="H47" i="1"/>
  <c r="E154" i="1"/>
  <c r="F154" i="1"/>
  <c r="G154" i="1"/>
  <c r="H154" i="1"/>
  <c r="A155" i="1"/>
  <c r="B155" i="1"/>
  <c r="C155" i="1"/>
  <c r="D155" i="1"/>
  <c r="E155" i="1"/>
  <c r="F155" i="1"/>
  <c r="G155" i="1"/>
  <c r="H155" i="1"/>
  <c r="A156" i="1"/>
  <c r="B156" i="1"/>
  <c r="D157" i="1"/>
  <c r="E157" i="1"/>
  <c r="F157" i="1"/>
  <c r="G157" i="1"/>
  <c r="H157" i="1"/>
  <c r="A158" i="1"/>
  <c r="B158" i="1"/>
  <c r="C158" i="1"/>
  <c r="D158" i="1"/>
  <c r="E158" i="1"/>
  <c r="F158" i="1"/>
  <c r="G158" i="1"/>
  <c r="H158" i="1"/>
  <c r="A159" i="1"/>
  <c r="B159" i="1"/>
  <c r="C159" i="1"/>
  <c r="D159" i="1"/>
  <c r="E159" i="1"/>
  <c r="F159" i="1"/>
  <c r="G159" i="1"/>
  <c r="H159" i="1"/>
  <c r="A160" i="1"/>
  <c r="B160" i="1"/>
  <c r="C160" i="1"/>
  <c r="D160" i="1"/>
  <c r="E160" i="1"/>
  <c r="F160" i="1"/>
  <c r="G160" i="1"/>
  <c r="H160" i="1"/>
  <c r="C407" i="1"/>
  <c r="B446" i="1"/>
  <c r="G446" i="1"/>
  <c r="D447" i="1"/>
  <c r="A448" i="1"/>
  <c r="F448" i="1"/>
  <c r="A161" i="1"/>
  <c r="B161" i="1"/>
  <c r="C161" i="1"/>
  <c r="D161" i="1"/>
  <c r="E161" i="1"/>
  <c r="F161" i="1"/>
  <c r="G161" i="1"/>
  <c r="H161" i="1"/>
  <c r="A162" i="1"/>
  <c r="A163" i="1"/>
  <c r="B163" i="1"/>
  <c r="C163" i="1"/>
  <c r="D163" i="1"/>
  <c r="E163" i="1"/>
  <c r="F163" i="1"/>
  <c r="G163" i="1"/>
  <c r="H163" i="1"/>
  <c r="A164" i="1"/>
  <c r="B164" i="1"/>
  <c r="C164" i="1"/>
  <c r="D164" i="1"/>
  <c r="E164" i="1"/>
  <c r="F164" i="1"/>
  <c r="G164" i="1"/>
  <c r="H164" i="1"/>
  <c r="A165" i="1"/>
  <c r="B165" i="1"/>
  <c r="C165" i="1"/>
  <c r="D165" i="1"/>
  <c r="E165" i="1"/>
  <c r="F165" i="1"/>
  <c r="G165" i="1"/>
  <c r="H165" i="1"/>
  <c r="H8" i="1"/>
  <c r="B166" i="1"/>
  <c r="C166" i="1"/>
  <c r="D166" i="1"/>
  <c r="E166" i="1"/>
  <c r="F166" i="1"/>
  <c r="G166" i="1"/>
  <c r="H166" i="1"/>
  <c r="A167" i="1"/>
  <c r="B167" i="1"/>
  <c r="H212" i="1"/>
  <c r="D214" i="1"/>
  <c r="G214" i="1"/>
  <c r="E407" i="1"/>
  <c r="C446" i="1"/>
  <c r="H446" i="1"/>
  <c r="F447" i="1"/>
  <c r="D448" i="1"/>
  <c r="C167" i="1"/>
  <c r="D167" i="1"/>
  <c r="E167" i="1"/>
  <c r="F167" i="1"/>
  <c r="G167" i="1"/>
  <c r="H167" i="1"/>
  <c r="A168" i="1"/>
  <c r="B168" i="1"/>
  <c r="C168" i="1"/>
  <c r="D168" i="1"/>
  <c r="E168" i="1"/>
  <c r="F168" i="1"/>
  <c r="G168" i="1"/>
  <c r="H168" i="1"/>
  <c r="A169" i="1"/>
  <c r="G202" i="1"/>
  <c r="H202" i="1"/>
  <c r="A203" i="1"/>
  <c r="B203" i="1"/>
  <c r="C203" i="1"/>
  <c r="D203" i="1"/>
  <c r="E203" i="1"/>
  <c r="F203" i="1"/>
  <c r="G203" i="1"/>
  <c r="H203" i="1"/>
  <c r="A204" i="1"/>
  <c r="B204" i="1"/>
  <c r="C204" i="1"/>
  <c r="D204" i="1"/>
  <c r="E204" i="1"/>
  <c r="F204" i="1"/>
  <c r="G204" i="1"/>
  <c r="H204" i="1"/>
  <c r="A205" i="1"/>
  <c r="B205" i="1"/>
  <c r="C205" i="1"/>
  <c r="D205" i="1"/>
  <c r="E205" i="1"/>
  <c r="F205" i="1"/>
  <c r="G205" i="1"/>
  <c r="H205" i="1"/>
  <c r="A206" i="1"/>
  <c r="C212" i="1"/>
  <c r="E212" i="1"/>
  <c r="G212" i="1"/>
  <c r="B213" i="1"/>
  <c r="F214" i="1"/>
  <c r="A407" i="1"/>
  <c r="A446" i="1"/>
  <c r="F446" i="1"/>
  <c r="C447" i="1"/>
  <c r="H447" i="1"/>
  <c r="E448" i="1"/>
  <c r="B206" i="1"/>
  <c r="C206" i="1"/>
  <c r="D206" i="1"/>
  <c r="E206" i="1"/>
  <c r="F206" i="1"/>
  <c r="G206" i="1"/>
  <c r="H206" i="1"/>
  <c r="A207" i="1"/>
  <c r="B207" i="1"/>
  <c r="C207" i="1"/>
  <c r="D207" i="1"/>
  <c r="B208" i="1"/>
  <c r="C208" i="1"/>
  <c r="D208" i="1"/>
  <c r="E208" i="1"/>
  <c r="F208" i="1"/>
  <c r="G208" i="1"/>
  <c r="H208" i="1"/>
  <c r="A209" i="1"/>
  <c r="B209" i="1"/>
  <c r="C209" i="1"/>
  <c r="D209" i="1"/>
  <c r="E209" i="1"/>
  <c r="F209" i="1"/>
  <c r="G209" i="1"/>
  <c r="H209" i="1"/>
  <c r="A210" i="1"/>
  <c r="B210" i="1"/>
  <c r="C210" i="1"/>
  <c r="D210" i="1"/>
  <c r="E210" i="1"/>
  <c r="F210" i="1"/>
  <c r="G210" i="1"/>
  <c r="H210" i="1"/>
  <c r="A211" i="1"/>
  <c r="B211" i="1"/>
  <c r="C211" i="1"/>
  <c r="D211" i="1"/>
  <c r="E211" i="1"/>
  <c r="F211" i="1"/>
  <c r="G211" i="1"/>
  <c r="H211" i="1"/>
  <c r="A212" i="1"/>
  <c r="B212" i="1"/>
  <c r="D212" i="1"/>
  <c r="F212" i="1"/>
  <c r="A213" i="1"/>
  <c r="E214" i="1"/>
  <c r="A215" i="1"/>
  <c r="G9" i="1"/>
  <c r="E446" i="1"/>
  <c r="B447" i="1"/>
  <c r="G447" i="1"/>
  <c r="C448" i="1"/>
  <c r="H448" i="1"/>
  <c r="C213" i="1"/>
  <c r="H214" i="1"/>
  <c r="G407" i="1"/>
  <c r="D446" i="1"/>
  <c r="A447" i="1"/>
  <c r="E447" i="1"/>
  <c r="B448" i="1"/>
  <c r="G448" i="1"/>
  <c r="C156" i="1"/>
  <c r="D156" i="1"/>
  <c r="E156" i="1"/>
  <c r="F156" i="1"/>
  <c r="G156" i="1"/>
  <c r="H156" i="1"/>
  <c r="A157" i="1"/>
  <c r="B157" i="1"/>
  <c r="C157" i="1"/>
  <c r="B162" i="1"/>
  <c r="C162" i="1"/>
  <c r="D162" i="1"/>
  <c r="E162" i="1"/>
  <c r="F162" i="1"/>
  <c r="G162" i="1"/>
  <c r="H162" i="1"/>
  <c r="E207" i="1"/>
  <c r="F207" i="1"/>
  <c r="G207" i="1"/>
  <c r="H207" i="1"/>
  <c r="A208" i="1"/>
  <c r="D213" i="1"/>
  <c r="E213" i="1"/>
  <c r="F213" i="1"/>
  <c r="G213" i="1"/>
  <c r="H213" i="1"/>
  <c r="A214" i="1"/>
  <c r="B214" i="1"/>
  <c r="C214" i="1"/>
  <c r="E449" i="1"/>
  <c r="F449" i="1"/>
  <c r="G449" i="1"/>
  <c r="H449" i="1"/>
  <c r="A450" i="1"/>
  <c r="B450" i="1"/>
  <c r="C450" i="1"/>
  <c r="G1209" i="1"/>
  <c r="H1209" i="1"/>
  <c r="A1210" i="1"/>
  <c r="B1210" i="1"/>
  <c r="C1210" i="1"/>
  <c r="D1210" i="1"/>
  <c r="E1210" i="1"/>
  <c r="F1210" i="1"/>
  <c r="F8" i="1"/>
  <c r="C8" i="1"/>
  <c r="B8" i="1"/>
  <c r="A986" i="1"/>
  <c r="C169" i="1"/>
  <c r="D169" i="1"/>
  <c r="E169" i="1"/>
  <c r="F169" i="1"/>
  <c r="G169" i="1"/>
  <c r="H169" i="1"/>
  <c r="A170" i="1"/>
  <c r="B170" i="1"/>
  <c r="C170" i="1"/>
  <c r="D170" i="1"/>
  <c r="E170" i="1"/>
  <c r="F170" i="1"/>
  <c r="G170" i="1"/>
  <c r="H170" i="1"/>
  <c r="A171" i="1"/>
  <c r="B171" i="1"/>
  <c r="C171" i="1"/>
  <c r="D171" i="1"/>
  <c r="E171" i="1"/>
  <c r="F171" i="1"/>
  <c r="G171" i="1"/>
  <c r="H171" i="1"/>
  <c r="A172" i="1"/>
  <c r="B172" i="1"/>
  <c r="C172" i="1"/>
  <c r="D172" i="1"/>
  <c r="E172" i="1"/>
  <c r="F172" i="1"/>
  <c r="G172" i="1"/>
  <c r="H172" i="1"/>
  <c r="A173" i="1"/>
  <c r="B173" i="1"/>
  <c r="C173" i="1"/>
  <c r="D173" i="1"/>
  <c r="E173" i="1"/>
  <c r="F173" i="1"/>
  <c r="G173" i="1"/>
  <c r="H173" i="1"/>
  <c r="A174" i="1"/>
  <c r="B174" i="1"/>
  <c r="C174" i="1"/>
  <c r="D174" i="1"/>
  <c r="E174" i="1"/>
  <c r="F174" i="1"/>
  <c r="G174" i="1"/>
  <c r="H174" i="1"/>
  <c r="A175" i="1"/>
  <c r="B175" i="1"/>
  <c r="C175" i="1"/>
  <c r="D175" i="1"/>
  <c r="E175" i="1"/>
  <c r="F175" i="1"/>
  <c r="G175" i="1"/>
  <c r="H175" i="1"/>
  <c r="A176" i="1"/>
  <c r="B176" i="1"/>
  <c r="C176" i="1"/>
  <c r="D176" i="1"/>
  <c r="E176" i="1"/>
  <c r="F176" i="1"/>
  <c r="G176" i="1"/>
  <c r="H176" i="1"/>
  <c r="A177" i="1"/>
  <c r="B177" i="1"/>
  <c r="C177" i="1"/>
  <c r="D177" i="1"/>
  <c r="E177" i="1"/>
  <c r="F177" i="1"/>
  <c r="G177" i="1"/>
  <c r="H177" i="1"/>
  <c r="A178" i="1"/>
  <c r="B178" i="1"/>
  <c r="C178" i="1"/>
  <c r="D178" i="1"/>
  <c r="E178" i="1"/>
  <c r="F178" i="1"/>
  <c r="G178" i="1"/>
  <c r="H178" i="1"/>
  <c r="A179" i="1"/>
  <c r="B179" i="1"/>
  <c r="C179" i="1"/>
  <c r="D179" i="1"/>
  <c r="E179" i="1"/>
  <c r="F179" i="1"/>
  <c r="G179" i="1"/>
  <c r="H179" i="1"/>
  <c r="A180" i="1"/>
  <c r="B180" i="1"/>
  <c r="C180" i="1"/>
  <c r="D180" i="1"/>
  <c r="E180" i="1"/>
  <c r="F180" i="1"/>
  <c r="G180" i="1"/>
  <c r="H180" i="1"/>
  <c r="A181" i="1"/>
  <c r="B181" i="1"/>
  <c r="C181" i="1"/>
  <c r="D181" i="1"/>
  <c r="E181" i="1"/>
  <c r="F181" i="1"/>
  <c r="G181" i="1"/>
  <c r="H181" i="1"/>
  <c r="A182" i="1"/>
  <c r="B182" i="1"/>
  <c r="C182" i="1"/>
  <c r="D182" i="1"/>
  <c r="E182" i="1"/>
  <c r="F182" i="1"/>
  <c r="G182" i="1"/>
  <c r="H182" i="1"/>
  <c r="A183" i="1"/>
  <c r="B183" i="1"/>
  <c r="C183" i="1"/>
  <c r="D183" i="1"/>
  <c r="E183" i="1"/>
  <c r="F183" i="1"/>
  <c r="G183" i="1"/>
  <c r="H183" i="1"/>
  <c r="A184" i="1"/>
  <c r="B184" i="1"/>
  <c r="C184" i="1"/>
  <c r="D184" i="1"/>
  <c r="E184" i="1"/>
  <c r="F184" i="1"/>
  <c r="G184" i="1"/>
  <c r="H184" i="1"/>
  <c r="A185" i="1"/>
  <c r="B185" i="1"/>
  <c r="C185" i="1"/>
  <c r="D185" i="1"/>
  <c r="E185" i="1"/>
  <c r="F185" i="1"/>
  <c r="G185" i="1"/>
  <c r="H185" i="1"/>
  <c r="A186" i="1"/>
  <c r="F197" i="1"/>
  <c r="H197" i="1"/>
  <c r="B198" i="1"/>
  <c r="D198" i="1"/>
  <c r="F198" i="1"/>
  <c r="H198" i="1"/>
  <c r="B199" i="1"/>
  <c r="E199" i="1"/>
  <c r="G199" i="1"/>
  <c r="A200" i="1"/>
  <c r="C200" i="1"/>
  <c r="E200" i="1"/>
  <c r="G200" i="1"/>
  <c r="A201" i="1"/>
  <c r="C201" i="1"/>
  <c r="E201" i="1"/>
  <c r="G201" i="1"/>
  <c r="A202" i="1"/>
  <c r="C202" i="1"/>
  <c r="E202" i="1"/>
  <c r="B186" i="1"/>
  <c r="C186" i="1"/>
  <c r="D186" i="1"/>
  <c r="E186" i="1"/>
  <c r="F186" i="1"/>
  <c r="G186" i="1"/>
  <c r="H186" i="1"/>
  <c r="A187" i="1"/>
  <c r="B187" i="1"/>
  <c r="C187" i="1"/>
  <c r="D187" i="1"/>
  <c r="E187" i="1"/>
  <c r="F187" i="1"/>
  <c r="G187" i="1"/>
  <c r="H187" i="1"/>
  <c r="A188" i="1"/>
  <c r="B188" i="1"/>
  <c r="C188" i="1"/>
  <c r="D188" i="1"/>
  <c r="E188" i="1"/>
  <c r="F188" i="1"/>
  <c r="G188" i="1"/>
  <c r="H188" i="1"/>
  <c r="A189" i="1"/>
  <c r="B189" i="1"/>
  <c r="C189" i="1"/>
  <c r="D189" i="1"/>
  <c r="E189" i="1"/>
  <c r="F189" i="1"/>
  <c r="G189" i="1"/>
  <c r="H189" i="1"/>
  <c r="A190" i="1"/>
  <c r="B190" i="1"/>
  <c r="C190" i="1"/>
  <c r="D190" i="1"/>
  <c r="E190" i="1"/>
  <c r="F190" i="1"/>
  <c r="G190" i="1"/>
  <c r="H190" i="1"/>
  <c r="A191" i="1"/>
  <c r="B191" i="1"/>
  <c r="C191" i="1"/>
  <c r="D191" i="1"/>
  <c r="E191" i="1"/>
  <c r="F191" i="1"/>
  <c r="G191" i="1"/>
  <c r="H191" i="1"/>
  <c r="A192" i="1"/>
  <c r="B192" i="1"/>
  <c r="C192" i="1"/>
  <c r="D192" i="1"/>
  <c r="E192" i="1"/>
  <c r="F192" i="1"/>
  <c r="G192" i="1"/>
  <c r="H192" i="1"/>
  <c r="A193" i="1"/>
  <c r="B193" i="1"/>
  <c r="C193" i="1"/>
  <c r="D193" i="1"/>
  <c r="E193" i="1"/>
  <c r="F193" i="1"/>
  <c r="G193" i="1"/>
  <c r="H193" i="1"/>
  <c r="A194" i="1"/>
  <c r="B194" i="1"/>
  <c r="C194" i="1"/>
  <c r="D194" i="1"/>
  <c r="E194" i="1"/>
  <c r="F194" i="1"/>
  <c r="G194" i="1"/>
  <c r="H194" i="1"/>
  <c r="A195" i="1"/>
  <c r="B195" i="1"/>
  <c r="C195" i="1"/>
  <c r="D195" i="1"/>
  <c r="E195" i="1"/>
  <c r="F195" i="1"/>
  <c r="G195" i="1"/>
  <c r="H195" i="1"/>
  <c r="A196" i="1"/>
  <c r="B196" i="1"/>
  <c r="C196" i="1"/>
  <c r="D196" i="1"/>
  <c r="E196" i="1"/>
  <c r="F196" i="1"/>
  <c r="G196" i="1"/>
  <c r="H196" i="1"/>
  <c r="A197" i="1"/>
  <c r="B197" i="1"/>
  <c r="C197" i="1"/>
  <c r="D197" i="1"/>
  <c r="E197" i="1"/>
  <c r="G197" i="1"/>
  <c r="A198" i="1"/>
  <c r="C198" i="1"/>
  <c r="E198" i="1"/>
  <c r="G198" i="1"/>
  <c r="A199" i="1"/>
  <c r="C199" i="1"/>
  <c r="D199" i="1"/>
  <c r="F199" i="1"/>
  <c r="H199" i="1"/>
  <c r="B200" i="1"/>
  <c r="D200" i="1"/>
  <c r="F200" i="1"/>
  <c r="H200" i="1"/>
  <c r="B201" i="1"/>
  <c r="D201" i="1"/>
  <c r="F201" i="1"/>
  <c r="H201" i="1"/>
  <c r="B202" i="1"/>
  <c r="D202" i="1"/>
  <c r="F202" i="1"/>
  <c r="D450" i="1"/>
  <c r="E450" i="1"/>
  <c r="F450" i="1"/>
  <c r="G450" i="1"/>
  <c r="H450" i="1"/>
  <c r="A451" i="1"/>
  <c r="B451" i="1"/>
  <c r="C451" i="1"/>
  <c r="D451" i="1"/>
  <c r="E451" i="1"/>
  <c r="F451" i="1"/>
  <c r="G451" i="1"/>
  <c r="H451" i="1"/>
  <c r="A452" i="1"/>
  <c r="B452" i="1"/>
  <c r="C452" i="1"/>
  <c r="D452" i="1"/>
  <c r="E452" i="1"/>
  <c r="F452" i="1"/>
  <c r="G452" i="1"/>
  <c r="H452" i="1"/>
  <c r="A453" i="1"/>
  <c r="B453" i="1"/>
  <c r="C453" i="1"/>
  <c r="D453" i="1"/>
  <c r="E453" i="1"/>
  <c r="F453" i="1"/>
  <c r="G453" i="1"/>
  <c r="H453" i="1"/>
  <c r="A454" i="1"/>
  <c r="B454" i="1"/>
  <c r="C454" i="1"/>
  <c r="D454" i="1"/>
  <c r="E454" i="1"/>
  <c r="F454" i="1"/>
  <c r="G454" i="1"/>
  <c r="H454" i="1"/>
  <c r="A455" i="1"/>
  <c r="B455" i="1"/>
  <c r="C455" i="1"/>
  <c r="D455" i="1"/>
  <c r="E455" i="1"/>
  <c r="F455" i="1"/>
  <c r="G455" i="1"/>
  <c r="H455" i="1"/>
  <c r="A456" i="1"/>
  <c r="B456" i="1"/>
  <c r="C456" i="1"/>
  <c r="D456" i="1"/>
  <c r="G972" i="1"/>
  <c r="H972" i="1"/>
  <c r="A973" i="1"/>
  <c r="B973" i="1"/>
  <c r="C973" i="1"/>
  <c r="D973" i="1"/>
  <c r="E973" i="1"/>
  <c r="F973" i="1"/>
  <c r="G973" i="1"/>
  <c r="H973" i="1"/>
  <c r="A974" i="1"/>
  <c r="B974" i="1"/>
  <c r="C974" i="1"/>
  <c r="D974" i="1"/>
  <c r="E974" i="1"/>
  <c r="F974" i="1"/>
  <c r="G974" i="1"/>
  <c r="H974" i="1"/>
  <c r="A975" i="1"/>
  <c r="B975" i="1"/>
  <c r="C975" i="1"/>
  <c r="D975" i="1"/>
  <c r="E975" i="1"/>
  <c r="F975" i="1"/>
  <c r="G975" i="1"/>
  <c r="H975" i="1"/>
  <c r="A976" i="1"/>
  <c r="B976" i="1"/>
  <c r="C976" i="1"/>
  <c r="D976" i="1"/>
  <c r="E976" i="1"/>
  <c r="F976" i="1"/>
  <c r="G976" i="1"/>
  <c r="H976" i="1"/>
  <c r="A977" i="1"/>
  <c r="B977" i="1"/>
  <c r="C977" i="1"/>
  <c r="D977" i="1"/>
  <c r="E977" i="1"/>
  <c r="F977" i="1"/>
  <c r="G977" i="1"/>
  <c r="H977" i="1"/>
  <c r="A978" i="1"/>
  <c r="B978" i="1"/>
  <c r="C978" i="1"/>
  <c r="D978" i="1"/>
  <c r="E978" i="1"/>
  <c r="F978" i="1"/>
  <c r="G978" i="1"/>
  <c r="H978" i="1"/>
  <c r="A979" i="1"/>
  <c r="B979" i="1"/>
  <c r="C979" i="1"/>
  <c r="D979" i="1"/>
  <c r="E979" i="1"/>
  <c r="F979" i="1"/>
  <c r="G979" i="1"/>
  <c r="H979" i="1"/>
  <c r="A980" i="1"/>
  <c r="B980" i="1"/>
  <c r="C980" i="1"/>
  <c r="D980" i="1"/>
  <c r="E980" i="1"/>
  <c r="F980" i="1"/>
  <c r="G980" i="1"/>
  <c r="H980" i="1"/>
  <c r="A981" i="1"/>
  <c r="B981" i="1"/>
  <c r="C981" i="1"/>
  <c r="D981" i="1"/>
  <c r="E981" i="1"/>
  <c r="F981" i="1"/>
  <c r="G981" i="1"/>
  <c r="H981" i="1"/>
  <c r="A982" i="1"/>
  <c r="B982" i="1"/>
  <c r="C982" i="1"/>
  <c r="D982" i="1"/>
  <c r="E982" i="1"/>
  <c r="F982" i="1"/>
  <c r="G982" i="1"/>
  <c r="H982" i="1"/>
  <c r="A983" i="1"/>
  <c r="B983" i="1"/>
  <c r="C983" i="1"/>
  <c r="D983" i="1"/>
  <c r="B892" i="1"/>
  <c r="B893" i="1"/>
  <c r="A894" i="1"/>
  <c r="F895" i="1"/>
  <c r="E896" i="1"/>
  <c r="G897" i="1"/>
  <c r="F898" i="1"/>
  <c r="F899" i="1"/>
  <c r="E900" i="1"/>
  <c r="G1021" i="1"/>
  <c r="C1022" i="1"/>
  <c r="C1023" i="1"/>
  <c r="A1024" i="1"/>
  <c r="G1024" i="1"/>
  <c r="E1025" i="1"/>
  <c r="A1026" i="1"/>
  <c r="G1026" i="1"/>
  <c r="E1027" i="1"/>
  <c r="B1028" i="1"/>
  <c r="H1028" i="1"/>
  <c r="E983" i="1"/>
  <c r="F983" i="1"/>
  <c r="G983" i="1"/>
  <c r="H983" i="1"/>
  <c r="A984" i="1"/>
  <c r="B984" i="1"/>
  <c r="C984" i="1"/>
  <c r="D984" i="1"/>
  <c r="E984" i="1"/>
  <c r="F984" i="1"/>
  <c r="G984" i="1"/>
  <c r="H984" i="1"/>
  <c r="A985" i="1"/>
  <c r="B985" i="1"/>
  <c r="C985" i="1"/>
  <c r="D985" i="1"/>
  <c r="E985" i="1"/>
  <c r="F985" i="1"/>
  <c r="G985" i="1"/>
  <c r="H985" i="1"/>
  <c r="B169" i="1"/>
  <c r="B986" i="1"/>
  <c r="C986" i="1"/>
  <c r="D986" i="1"/>
  <c r="E986" i="1"/>
  <c r="F986" i="1"/>
  <c r="G986" i="1"/>
  <c r="H986" i="1"/>
  <c r="A987" i="1"/>
  <c r="B987" i="1"/>
  <c r="C987" i="1"/>
  <c r="D987" i="1"/>
  <c r="E987" i="1"/>
  <c r="F987" i="1"/>
  <c r="G987" i="1"/>
  <c r="E297" i="1"/>
  <c r="C300" i="1"/>
  <c r="C301" i="1"/>
  <c r="H301" i="1"/>
  <c r="F302" i="1"/>
  <c r="G303" i="1"/>
  <c r="H304" i="1"/>
  <c r="C305" i="1"/>
  <c r="E306" i="1"/>
  <c r="E308" i="1"/>
  <c r="A310" i="1"/>
  <c r="F310" i="1"/>
  <c r="H312" i="1"/>
  <c r="C314" i="1"/>
  <c r="A315" i="1"/>
  <c r="G317" i="1"/>
  <c r="E318" i="1"/>
  <c r="A321" i="1"/>
  <c r="D321" i="1"/>
  <c r="B322" i="1"/>
  <c r="E323" i="1"/>
  <c r="A324" i="1"/>
  <c r="D329" i="1"/>
  <c r="D330" i="1"/>
  <c r="G331" i="1"/>
  <c r="E332" i="1"/>
  <c r="A334" i="1"/>
  <c r="B335" i="1"/>
  <c r="E335" i="1"/>
  <c r="D336" i="1"/>
  <c r="H337" i="1"/>
  <c r="H339" i="1"/>
  <c r="C340" i="1"/>
  <c r="C341" i="1"/>
  <c r="D342" i="1"/>
  <c r="E344" i="1"/>
  <c r="B345" i="1"/>
  <c r="G346" i="1"/>
  <c r="E347" i="1"/>
  <c r="H348" i="1"/>
  <c r="G349" i="1"/>
  <c r="C350" i="1"/>
  <c r="A351" i="1"/>
  <c r="G351" i="1"/>
  <c r="B352" i="1"/>
  <c r="H352" i="1"/>
  <c r="G353" i="1"/>
  <c r="H354" i="1"/>
  <c r="D355" i="1"/>
  <c r="E356" i="1"/>
  <c r="D357" i="1"/>
  <c r="G357" i="1"/>
  <c r="E358" i="1"/>
  <c r="G359" i="1"/>
  <c r="E360" i="1"/>
  <c r="E361" i="1"/>
  <c r="B363" i="1"/>
  <c r="A364" i="1"/>
  <c r="E658" i="1"/>
  <c r="H659" i="1"/>
  <c r="F1049" i="1"/>
  <c r="G1050" i="1"/>
  <c r="A1051" i="1"/>
  <c r="A1052" i="1"/>
  <c r="A1053" i="1"/>
  <c r="E1053" i="1"/>
  <c r="D1054" i="1"/>
  <c r="D1055" i="1"/>
  <c r="C1056" i="1"/>
  <c r="G1056" i="1"/>
  <c r="G1057" i="1"/>
  <c r="G1058" i="1"/>
  <c r="B1059" i="1"/>
  <c r="G1059" i="1"/>
  <c r="E1060" i="1"/>
  <c r="C1061" i="1"/>
  <c r="D1062" i="1"/>
  <c r="E1063" i="1"/>
  <c r="F1064" i="1"/>
  <c r="G1065" i="1"/>
  <c r="C1067" i="1"/>
  <c r="D1035" i="1"/>
  <c r="B1037" i="1"/>
  <c r="A1043" i="1"/>
  <c r="C1045" i="1"/>
  <c r="E1046" i="1"/>
  <c r="F1048" i="1"/>
  <c r="F1050" i="1"/>
  <c r="F1052" i="1"/>
  <c r="E1054" i="1"/>
  <c r="D1056" i="1"/>
  <c r="F1058" i="1"/>
  <c r="H1060" i="1"/>
  <c r="B1063" i="1"/>
  <c r="A1065" i="1"/>
  <c r="D1067" i="1"/>
  <c r="A1069" i="1"/>
  <c r="E1070" i="1"/>
  <c r="H1072" i="1"/>
  <c r="H1074" i="1"/>
  <c r="G1076" i="1"/>
  <c r="A891" i="1"/>
  <c r="G891" i="1"/>
  <c r="G892" i="1"/>
  <c r="F893" i="1"/>
  <c r="H894" i="1"/>
  <c r="H895" i="1"/>
  <c r="A897" i="1"/>
  <c r="A898" i="1"/>
  <c r="A899" i="1"/>
  <c r="A900" i="1"/>
  <c r="G900" i="1"/>
  <c r="A1022" i="1"/>
  <c r="G1022" i="1"/>
  <c r="E1023" i="1"/>
  <c r="C1024" i="1"/>
  <c r="C1025" i="1"/>
  <c r="C1026" i="1"/>
  <c r="A1027" i="1"/>
  <c r="G1027" i="1"/>
  <c r="D1028" i="1"/>
  <c r="E1078" i="1"/>
  <c r="E1080" i="1"/>
  <c r="F1082" i="1"/>
  <c r="B1084" i="1"/>
  <c r="D1086" i="1"/>
  <c r="H1087" i="1"/>
  <c r="C1090" i="1"/>
  <c r="G1091" i="1"/>
  <c r="H1093" i="1"/>
  <c r="H1095" i="1"/>
  <c r="E1097" i="1"/>
  <c r="B9" i="1"/>
  <c r="A853" i="1"/>
  <c r="D853" i="1"/>
  <c r="G853" i="1"/>
  <c r="B854" i="1"/>
  <c r="E854" i="1"/>
  <c r="H854" i="1"/>
  <c r="C855" i="1"/>
  <c r="E855" i="1"/>
  <c r="G855" i="1"/>
  <c r="B856" i="1"/>
  <c r="E856" i="1"/>
  <c r="G856" i="1"/>
  <c r="B857" i="1"/>
  <c r="D857" i="1"/>
  <c r="G857" i="1"/>
  <c r="B858" i="1"/>
  <c r="E858" i="1"/>
  <c r="H858" i="1"/>
  <c r="C859" i="1"/>
  <c r="F859" i="1"/>
  <c r="G859" i="1"/>
  <c r="B860" i="1"/>
  <c r="E860" i="1"/>
  <c r="G860" i="1"/>
  <c r="B861" i="1"/>
  <c r="E861" i="1"/>
  <c r="G861" i="1"/>
  <c r="B862" i="1"/>
  <c r="E862" i="1"/>
  <c r="G862" i="1"/>
  <c r="B863" i="1"/>
  <c r="D863" i="1"/>
  <c r="G863" i="1"/>
  <c r="B864" i="1"/>
  <c r="E864" i="1"/>
  <c r="F864" i="1"/>
  <c r="A865" i="1"/>
  <c r="D865" i="1"/>
  <c r="F865" i="1"/>
  <c r="A866" i="1"/>
  <c r="D866" i="1"/>
  <c r="G866" i="1"/>
  <c r="B867" i="1"/>
  <c r="E867" i="1"/>
  <c r="G867" i="1"/>
  <c r="B868" i="1"/>
  <c r="E868" i="1"/>
  <c r="G868" i="1"/>
  <c r="B869" i="1"/>
  <c r="C869" i="1"/>
  <c r="F869" i="1"/>
  <c r="A870" i="1"/>
  <c r="D870" i="1"/>
  <c r="G870" i="1"/>
  <c r="A871" i="1"/>
  <c r="C871" i="1"/>
  <c r="F871" i="1"/>
  <c r="H871" i="1"/>
  <c r="C872" i="1"/>
  <c r="F872" i="1"/>
  <c r="A873" i="1"/>
  <c r="C873" i="1"/>
  <c r="F873" i="1"/>
  <c r="A874" i="1"/>
  <c r="D874" i="1"/>
  <c r="G874" i="1"/>
  <c r="B875" i="1"/>
  <c r="C875" i="1"/>
  <c r="H875" i="1"/>
  <c r="B876" i="1"/>
  <c r="F876" i="1"/>
  <c r="H876" i="1"/>
  <c r="C877" i="1"/>
  <c r="E877" i="1"/>
  <c r="A878" i="1"/>
  <c r="C878" i="1"/>
  <c r="G878" i="1"/>
  <c r="A879" i="1"/>
  <c r="D879" i="1"/>
  <c r="G879" i="1"/>
  <c r="A880" i="1"/>
  <c r="C880" i="1"/>
  <c r="F880" i="1"/>
  <c r="A881" i="1"/>
  <c r="C881" i="1"/>
  <c r="F881" i="1"/>
  <c r="A882" i="1"/>
  <c r="D882" i="1"/>
  <c r="G882" i="1"/>
  <c r="B883" i="1"/>
  <c r="E883" i="1"/>
  <c r="H883" i="1"/>
  <c r="C884" i="1"/>
  <c r="F884" i="1"/>
  <c r="H884" i="1"/>
  <c r="B885" i="1"/>
  <c r="E885" i="1"/>
  <c r="H885" i="1"/>
  <c r="C886" i="1"/>
  <c r="E886" i="1"/>
  <c r="H886" i="1"/>
  <c r="C887" i="1"/>
  <c r="E887" i="1"/>
  <c r="H887" i="1"/>
  <c r="B888" i="1"/>
  <c r="E888" i="1"/>
  <c r="H888" i="1"/>
  <c r="D889" i="1"/>
  <c r="F889" i="1"/>
  <c r="A890" i="1"/>
  <c r="D890" i="1"/>
  <c r="G890" i="1"/>
  <c r="D891" i="1"/>
  <c r="D892" i="1"/>
  <c r="D893" i="1"/>
  <c r="D894" i="1"/>
  <c r="B895" i="1"/>
  <c r="C896" i="1"/>
  <c r="C897" i="1"/>
  <c r="C898" i="1"/>
  <c r="C899" i="1"/>
  <c r="C900" i="1"/>
  <c r="B901" i="1"/>
  <c r="E1022" i="1"/>
  <c r="A1023" i="1"/>
  <c r="G1023" i="1"/>
  <c r="E1024" i="1"/>
  <c r="A1025" i="1"/>
  <c r="G1025" i="1"/>
  <c r="E1026" i="1"/>
  <c r="C1027" i="1"/>
  <c r="A1028" i="1"/>
  <c r="F1028" i="1"/>
  <c r="F1215" i="1"/>
  <c r="G1215" i="1"/>
  <c r="H1215" i="1"/>
  <c r="A1216" i="1"/>
  <c r="B1216" i="1"/>
  <c r="C1216" i="1"/>
  <c r="D1216" i="1"/>
  <c r="E1216" i="1"/>
  <c r="F1216" i="1"/>
  <c r="G1216" i="1"/>
  <c r="H1216" i="1"/>
  <c r="A1217" i="1"/>
  <c r="B1217" i="1"/>
  <c r="C1217" i="1"/>
  <c r="D1217" i="1"/>
  <c r="E1217" i="1"/>
  <c r="F1217" i="1"/>
  <c r="G1217" i="1"/>
  <c r="H1217" i="1"/>
  <c r="A1218" i="1"/>
  <c r="B1218" i="1"/>
  <c r="C1218" i="1"/>
  <c r="D1218" i="1"/>
  <c r="E1218" i="1"/>
  <c r="F1218" i="1"/>
  <c r="G1218" i="1"/>
  <c r="H1218" i="1"/>
  <c r="A1219" i="1"/>
  <c r="B1219" i="1"/>
  <c r="C1219" i="1"/>
  <c r="D1219" i="1"/>
  <c r="E1219" i="1"/>
  <c r="F1219" i="1"/>
  <c r="G1219" i="1"/>
  <c r="H1219" i="1"/>
  <c r="A1220" i="1"/>
  <c r="B1220" i="1"/>
  <c r="C1220" i="1"/>
  <c r="D1220" i="1"/>
  <c r="E1220" i="1"/>
  <c r="F1220" i="1"/>
  <c r="G1220" i="1"/>
  <c r="H1220" i="1"/>
  <c r="E9" i="1"/>
  <c r="H9" i="1"/>
  <c r="E1028" i="1"/>
  <c r="G1028" i="1"/>
  <c r="A1029" i="1"/>
  <c r="C1029" i="1"/>
  <c r="E1029" i="1"/>
  <c r="G1029" i="1"/>
  <c r="A1030" i="1"/>
  <c r="C1030" i="1"/>
  <c r="E1030" i="1"/>
  <c r="G1030" i="1"/>
  <c r="A1031" i="1"/>
  <c r="C1031" i="1"/>
  <c r="E1031" i="1"/>
  <c r="G1031" i="1"/>
  <c r="A1032" i="1"/>
  <c r="C1032" i="1"/>
  <c r="E1032" i="1"/>
  <c r="G1032" i="1"/>
  <c r="A1033" i="1"/>
  <c r="G1033" i="1"/>
  <c r="B1036" i="1"/>
  <c r="D1038" i="1"/>
  <c r="E1044" i="1"/>
  <c r="E1047" i="1"/>
  <c r="A1050" i="1"/>
  <c r="H1051" i="1"/>
  <c r="G1054" i="1"/>
  <c r="D1057" i="1"/>
  <c r="G1060" i="1"/>
  <c r="F1063" i="1"/>
  <c r="B1066" i="1"/>
  <c r="G1068" i="1"/>
  <c r="H1071" i="1"/>
  <c r="E1074" i="1"/>
  <c r="A1077" i="1"/>
  <c r="E1079" i="1"/>
  <c r="D1082" i="1"/>
  <c r="A1085" i="1"/>
  <c r="D1087" i="1"/>
  <c r="H1089" i="1"/>
  <c r="A1093" i="1"/>
  <c r="F1095" i="1"/>
  <c r="C1098" i="1"/>
  <c r="D1100" i="1"/>
  <c r="F1103" i="1"/>
  <c r="A1106" i="1"/>
  <c r="E1108" i="1"/>
  <c r="E1111" i="1"/>
  <c r="A1114" i="1"/>
  <c r="D1116" i="1"/>
  <c r="D1119" i="1"/>
  <c r="E1121" i="1"/>
  <c r="E1124" i="1"/>
  <c r="B1127" i="1"/>
  <c r="E1129" i="1"/>
  <c r="E1132" i="1"/>
  <c r="B1134" i="1"/>
  <c r="E1137" i="1"/>
  <c r="H1139" i="1"/>
  <c r="B1142" i="1"/>
  <c r="B1145" i="1"/>
  <c r="E1147" i="1"/>
  <c r="D1150" i="1"/>
  <c r="E1153" i="1"/>
  <c r="G1155" i="1"/>
  <c r="H1157" i="1"/>
  <c r="F1160" i="1"/>
  <c r="D1163" i="1"/>
  <c r="A1166" i="1"/>
  <c r="E1168" i="1"/>
  <c r="A1171" i="1"/>
  <c r="A1174" i="1"/>
  <c r="D1177" i="1"/>
  <c r="F1179" i="1"/>
  <c r="A1039" i="1"/>
  <c r="C1039" i="1"/>
  <c r="D1039" i="1"/>
  <c r="F1039" i="1"/>
  <c r="H1039" i="1"/>
  <c r="B1040" i="1"/>
  <c r="D1040" i="1"/>
  <c r="E1040" i="1"/>
  <c r="G1040" i="1"/>
  <c r="A1041" i="1"/>
  <c r="C1041" i="1"/>
  <c r="E1041" i="1"/>
  <c r="G1041" i="1"/>
  <c r="A1042" i="1"/>
  <c r="C1042" i="1"/>
  <c r="E1042" i="1"/>
  <c r="G1042" i="1"/>
  <c r="A9" i="1"/>
  <c r="G518" i="1"/>
  <c r="H517" i="1"/>
  <c r="A517" i="1"/>
  <c r="E516" i="1"/>
  <c r="G515" i="1"/>
  <c r="D515" i="1"/>
  <c r="A400" i="1"/>
  <c r="D399" i="1"/>
  <c r="H398" i="1"/>
  <c r="D396" i="1"/>
  <c r="G395" i="1"/>
  <c r="C395" i="1"/>
  <c r="E394" i="1"/>
  <c r="A394" i="1"/>
  <c r="E393" i="1"/>
  <c r="G392" i="1"/>
  <c r="C392" i="1"/>
  <c r="D391" i="1"/>
  <c r="A391" i="1"/>
  <c r="D390" i="1"/>
  <c r="A390" i="1"/>
  <c r="C389" i="1"/>
  <c r="H388" i="1"/>
  <c r="B388" i="1"/>
  <c r="A387" i="1"/>
  <c r="D386" i="1"/>
  <c r="A550" i="1"/>
  <c r="B959" i="1"/>
  <c r="B958" i="1"/>
  <c r="A957" i="1"/>
  <c r="H955" i="1"/>
  <c r="A955" i="1"/>
  <c r="D954" i="1"/>
  <c r="C953" i="1"/>
  <c r="B952" i="1"/>
  <c r="A951" i="1"/>
  <c r="H949" i="1"/>
  <c r="C949" i="1"/>
  <c r="C948" i="1"/>
  <c r="B947" i="1"/>
  <c r="A946" i="1"/>
  <c r="H944" i="1"/>
  <c r="G943" i="1"/>
  <c r="F942" i="1"/>
  <c r="E941" i="1"/>
  <c r="B939" i="1"/>
  <c r="H935" i="1"/>
  <c r="C935" i="1"/>
  <c r="F934" i="1"/>
  <c r="A934" i="1"/>
  <c r="C933" i="1"/>
  <c r="E932" i="1"/>
  <c r="B932" i="1"/>
  <c r="B931" i="1"/>
  <c r="D930" i="1"/>
  <c r="E929" i="1"/>
  <c r="H928" i="1"/>
  <c r="G927" i="1"/>
  <c r="A927" i="1"/>
  <c r="E926" i="1"/>
  <c r="G925" i="1"/>
  <c r="A925" i="1"/>
  <c r="C924" i="1"/>
  <c r="E923" i="1"/>
  <c r="G922" i="1"/>
  <c r="D922" i="1"/>
  <c r="E921" i="1"/>
  <c r="H920" i="1"/>
  <c r="F919" i="1"/>
  <c r="H918" i="1"/>
  <c r="B918" i="1"/>
  <c r="D917" i="1"/>
  <c r="F916" i="1"/>
  <c r="H915" i="1"/>
  <c r="B915" i="1"/>
  <c r="C914" i="1"/>
  <c r="C913" i="1"/>
  <c r="D912" i="1"/>
  <c r="H911" i="1"/>
  <c r="B911" i="1"/>
  <c r="D910" i="1"/>
  <c r="F909" i="1"/>
  <c r="H908" i="1"/>
  <c r="B908" i="1"/>
  <c r="F907" i="1"/>
  <c r="F906" i="1"/>
  <c r="B906" i="1"/>
  <c r="D905" i="1"/>
  <c r="D904" i="1"/>
  <c r="D903" i="1"/>
  <c r="E902" i="1"/>
  <c r="G901" i="1"/>
  <c r="H900" i="1"/>
  <c r="E897" i="1"/>
  <c r="E895" i="1"/>
  <c r="H892" i="1"/>
  <c r="C890" i="1"/>
  <c r="G887" i="1"/>
  <c r="B886" i="1"/>
  <c r="B884" i="1"/>
  <c r="D881" i="1"/>
  <c r="E878" i="1"/>
  <c r="G875" i="1"/>
  <c r="E873" i="1"/>
  <c r="E872" i="1"/>
  <c r="E869" i="1"/>
  <c r="C866" i="1"/>
  <c r="D862" i="1"/>
  <c r="A860" i="1"/>
  <c r="A146" i="1"/>
  <c r="E145" i="1"/>
  <c r="A145" i="1"/>
  <c r="E144" i="1"/>
  <c r="A144" i="1"/>
  <c r="E143" i="1"/>
  <c r="A143" i="1"/>
  <c r="E142" i="1"/>
  <c r="C142" i="1"/>
  <c r="G141" i="1"/>
  <c r="C141" i="1"/>
  <c r="G140" i="1"/>
  <c r="C140" i="1"/>
  <c r="H139" i="1"/>
  <c r="D139" i="1"/>
  <c r="H138" i="1"/>
  <c r="D138" i="1"/>
  <c r="G137" i="1"/>
  <c r="C137" i="1"/>
  <c r="G136" i="1"/>
  <c r="B136" i="1"/>
  <c r="E135" i="1"/>
  <c r="A135" i="1"/>
  <c r="E134" i="1"/>
  <c r="A134" i="1"/>
  <c r="E133" i="1"/>
  <c r="A133" i="1"/>
  <c r="E132" i="1"/>
  <c r="H131" i="1"/>
  <c r="D131" i="1"/>
  <c r="G130" i="1"/>
  <c r="C130" i="1"/>
  <c r="G129" i="1"/>
  <c r="C129" i="1"/>
  <c r="G128" i="1"/>
  <c r="C128" i="1"/>
  <c r="G127" i="1"/>
  <c r="C127" i="1"/>
  <c r="G126" i="1"/>
  <c r="C126" i="1"/>
  <c r="F125" i="1"/>
  <c r="C125" i="1"/>
  <c r="G124" i="1"/>
  <c r="C124" i="1"/>
  <c r="G123" i="1"/>
  <c r="C123" i="1"/>
  <c r="H122" i="1"/>
  <c r="E122" i="1"/>
  <c r="A122" i="1"/>
  <c r="E121" i="1"/>
  <c r="A121" i="1"/>
  <c r="D120" i="1"/>
  <c r="A120" i="1"/>
  <c r="E119" i="1"/>
  <c r="A119" i="1"/>
  <c r="E118" i="1"/>
  <c r="A118" i="1"/>
  <c r="E117" i="1"/>
  <c r="A117" i="1"/>
  <c r="D116" i="1"/>
  <c r="H115" i="1"/>
  <c r="D115" i="1"/>
  <c r="H114" i="1"/>
  <c r="D114" i="1"/>
  <c r="A114" i="1"/>
  <c r="C113" i="1"/>
  <c r="A113" i="1"/>
  <c r="E112" i="1"/>
  <c r="A112" i="1"/>
  <c r="E111" i="1"/>
  <c r="A111" i="1"/>
  <c r="E110" i="1"/>
  <c r="A110" i="1"/>
  <c r="F109" i="1"/>
  <c r="B109" i="1"/>
  <c r="G108" i="1"/>
  <c r="C108" i="1"/>
  <c r="G107" i="1"/>
  <c r="C107" i="1"/>
  <c r="G106" i="1"/>
  <c r="E106" i="1"/>
  <c r="A106" i="1"/>
  <c r="D105" i="1"/>
  <c r="H104" i="1"/>
  <c r="D104" i="1"/>
  <c r="H103" i="1"/>
  <c r="D103" i="1"/>
  <c r="H102" i="1"/>
  <c r="D102" i="1"/>
  <c r="H101" i="1"/>
  <c r="D101" i="1"/>
  <c r="H100" i="1"/>
  <c r="D100" i="1"/>
  <c r="H99" i="1"/>
  <c r="D99" i="1"/>
  <c r="H98" i="1"/>
  <c r="F98" i="1"/>
  <c r="A98" i="1"/>
  <c r="E97" i="1"/>
  <c r="A97" i="1"/>
  <c r="E96" i="1"/>
  <c r="A96" i="1"/>
  <c r="E95" i="1"/>
  <c r="H94" i="1"/>
  <c r="D94" i="1"/>
  <c r="H93" i="1"/>
  <c r="D93" i="1"/>
  <c r="A93" i="1"/>
  <c r="E92" i="1"/>
  <c r="A92" i="1"/>
  <c r="E91" i="1"/>
  <c r="H90" i="1"/>
  <c r="D90" i="1"/>
  <c r="A90" i="1"/>
  <c r="E89" i="1"/>
  <c r="A89" i="1"/>
  <c r="E88" i="1"/>
  <c r="A88" i="1"/>
  <c r="E87" i="1"/>
  <c r="A87" i="1"/>
  <c r="E86" i="1"/>
  <c r="A86" i="1"/>
  <c r="E85" i="1"/>
  <c r="A85" i="1"/>
  <c r="E84" i="1"/>
  <c r="H83" i="1"/>
  <c r="E83" i="1"/>
  <c r="A83" i="1"/>
  <c r="E82" i="1"/>
  <c r="A82" i="1"/>
  <c r="E81" i="1"/>
  <c r="A81" i="1"/>
  <c r="E80" i="1"/>
  <c r="A80" i="1"/>
  <c r="E79" i="1"/>
  <c r="A79" i="1"/>
  <c r="F78" i="1"/>
  <c r="C78" i="1"/>
  <c r="F77" i="1"/>
  <c r="B77" i="1"/>
  <c r="D76" i="1"/>
  <c r="E61" i="1"/>
  <c r="F49" i="1"/>
  <c r="E22" i="1"/>
  <c r="G16" i="1"/>
  <c r="H801" i="1"/>
  <c r="H800" i="1"/>
  <c r="F798" i="1"/>
  <c r="F795" i="1"/>
  <c r="A793" i="1"/>
  <c r="A790" i="1"/>
  <c r="B788" i="1"/>
  <c r="H785" i="1"/>
  <c r="E783" i="1"/>
  <c r="E781" i="1"/>
  <c r="C778" i="1"/>
  <c r="G775" i="1"/>
  <c r="G772" i="1"/>
  <c r="E770" i="1"/>
  <c r="A687" i="1"/>
  <c r="E683" i="1"/>
  <c r="E680" i="1"/>
  <c r="F678" i="1"/>
  <c r="G674" i="1"/>
  <c r="C671" i="1"/>
  <c r="A667" i="1"/>
  <c r="A664" i="1"/>
  <c r="H660" i="1"/>
  <c r="B657" i="1"/>
  <c r="H654" i="1"/>
  <c r="H651" i="1"/>
  <c r="C650" i="1"/>
  <c r="A648" i="1"/>
  <c r="G644" i="1"/>
  <c r="B643" i="1"/>
  <c r="F639" i="1"/>
  <c r="B637" i="1"/>
  <c r="E634" i="1"/>
  <c r="E631" i="1"/>
  <c r="D629" i="1"/>
  <c r="G625" i="1"/>
  <c r="H621" i="1"/>
  <c r="E619" i="1"/>
  <c r="D616" i="1"/>
  <c r="F613" i="1"/>
  <c r="B611" i="1"/>
  <c r="A607" i="1"/>
  <c r="D604" i="1"/>
  <c r="G601" i="1"/>
  <c r="B599" i="1"/>
  <c r="B597" i="1"/>
  <c r="C592" i="1"/>
  <c r="F589" i="1"/>
  <c r="F586" i="1"/>
  <c r="B582" i="1"/>
  <c r="F578" i="1"/>
  <c r="D576" i="1"/>
  <c r="G572" i="1"/>
  <c r="A571" i="1"/>
  <c r="H568" i="1"/>
  <c r="H566" i="1"/>
  <c r="H563" i="1"/>
  <c r="E555" i="1"/>
  <c r="F549" i="1"/>
  <c r="G546" i="1"/>
  <c r="A545" i="1"/>
  <c r="E543" i="1"/>
  <c r="H539" i="1"/>
  <c r="H537" i="1"/>
  <c r="A536" i="1"/>
  <c r="D534" i="1"/>
  <c r="H531" i="1"/>
  <c r="E530" i="1"/>
  <c r="C529" i="1"/>
  <c r="G526" i="1"/>
  <c r="B524" i="1"/>
  <c r="F522" i="1"/>
  <c r="C520" i="1"/>
  <c r="F516" i="1"/>
  <c r="E515" i="1"/>
  <c r="A399" i="1"/>
  <c r="G394" i="1"/>
  <c r="B392" i="1"/>
  <c r="D389" i="1"/>
  <c r="A389" i="1"/>
  <c r="E385" i="1"/>
  <c r="A385" i="1"/>
  <c r="E380" i="1"/>
  <c r="D376" i="1"/>
  <c r="H374" i="1"/>
  <c r="G370" i="1"/>
  <c r="D367" i="1"/>
  <c r="H364" i="1"/>
  <c r="H362" i="1"/>
  <c r="C359" i="1"/>
  <c r="H356" i="1"/>
  <c r="C355" i="1"/>
  <c r="C353" i="1"/>
  <c r="B350" i="1"/>
  <c r="B348" i="1"/>
  <c r="F346" i="1"/>
  <c r="F344" i="1"/>
  <c r="E341" i="1"/>
  <c r="G339" i="1"/>
  <c r="A336" i="1"/>
  <c r="B332" i="1"/>
  <c r="F328" i="1"/>
  <c r="E324" i="1"/>
  <c r="C323" i="1"/>
  <c r="A322" i="1"/>
  <c r="D319" i="1"/>
  <c r="D317" i="1"/>
  <c r="B315" i="1"/>
  <c r="F313" i="1"/>
  <c r="H311" i="1"/>
  <c r="G309" i="1"/>
  <c r="B306" i="1"/>
  <c r="B303" i="1"/>
  <c r="G300" i="1"/>
  <c r="D296" i="1"/>
  <c r="C293" i="1"/>
  <c r="B291" i="1"/>
  <c r="H287" i="1"/>
  <c r="C285" i="1"/>
  <c r="B281" i="1"/>
  <c r="H277" i="1"/>
  <c r="A276" i="1"/>
  <c r="G273" i="1"/>
  <c r="E270" i="1"/>
  <c r="H266" i="1"/>
  <c r="B265" i="1"/>
  <c r="B263" i="1"/>
  <c r="G261" i="1"/>
  <c r="H75" i="1"/>
  <c r="A74" i="1"/>
  <c r="H71" i="1"/>
  <c r="A70" i="1"/>
  <c r="C68" i="1"/>
  <c r="A66" i="1"/>
  <c r="C64" i="1"/>
  <c r="A61" i="1"/>
  <c r="D59" i="1"/>
  <c r="G55" i="1"/>
  <c r="C54" i="1"/>
  <c r="B50" i="1"/>
  <c r="C48" i="1"/>
  <c r="A47" i="1"/>
  <c r="B45" i="1"/>
  <c r="E39" i="1"/>
  <c r="B36" i="1"/>
  <c r="B34" i="1"/>
  <c r="G31" i="1"/>
  <c r="A29" i="1"/>
  <c r="H25" i="1"/>
  <c r="D24" i="1"/>
  <c r="A21" i="1"/>
  <c r="A19" i="1"/>
  <c r="C14" i="1"/>
  <c r="D12" i="1"/>
  <c r="G800" i="1"/>
  <c r="B796" i="1"/>
  <c r="A791" i="1"/>
  <c r="D787" i="1"/>
  <c r="F782" i="1"/>
  <c r="G778" i="1"/>
  <c r="C775" i="1"/>
  <c r="B771" i="1"/>
  <c r="G686" i="1"/>
  <c r="F683" i="1"/>
  <c r="C678" i="1"/>
  <c r="C674" i="1"/>
  <c r="F670" i="1"/>
  <c r="F665" i="1"/>
  <c r="D662" i="1"/>
  <c r="D656" i="1"/>
  <c r="F648" i="1"/>
  <c r="D644" i="1"/>
  <c r="G642" i="1"/>
  <c r="H635" i="1"/>
  <c r="H632" i="1"/>
  <c r="H626" i="1"/>
  <c r="B621" i="1"/>
  <c r="G616" i="1"/>
  <c r="F610" i="1"/>
  <c r="E606" i="1"/>
  <c r="F604" i="1"/>
  <c r="A601" i="1"/>
  <c r="C598" i="1"/>
  <c r="C595" i="1"/>
  <c r="F592" i="1"/>
  <c r="F588" i="1"/>
  <c r="H585" i="1"/>
  <c r="D582" i="1"/>
  <c r="F573" i="1"/>
  <c r="E570" i="1"/>
  <c r="C566" i="1"/>
  <c r="G559" i="1"/>
  <c r="H555" i="1"/>
  <c r="A549" i="1"/>
  <c r="G544" i="1"/>
  <c r="F541" i="1"/>
  <c r="C538" i="1"/>
  <c r="B534" i="1"/>
  <c r="F528" i="1"/>
  <c r="F524" i="1"/>
  <c r="A520" i="1"/>
  <c r="B517" i="1"/>
  <c r="D398" i="1"/>
  <c r="E396" i="1"/>
  <c r="F391" i="1"/>
  <c r="C384" i="1"/>
  <c r="G380" i="1"/>
  <c r="E376" i="1"/>
  <c r="F367" i="1"/>
  <c r="G362" i="1"/>
  <c r="A343" i="1"/>
  <c r="E340" i="1"/>
  <c r="A338" i="1"/>
  <c r="C331" i="1"/>
  <c r="H328" i="1"/>
  <c r="H327" i="1"/>
  <c r="D324" i="1"/>
  <c r="A319" i="1"/>
  <c r="E310" i="1"/>
  <c r="H298" i="1"/>
  <c r="E294" i="1"/>
  <c r="F291" i="1"/>
  <c r="H283" i="1"/>
  <c r="B282" i="1"/>
  <c r="H275" i="1"/>
  <c r="H274" i="1"/>
  <c r="D270" i="1"/>
  <c r="G267" i="1"/>
  <c r="D73" i="1"/>
  <c r="G69" i="1"/>
  <c r="A805" i="1"/>
  <c r="G798" i="1"/>
  <c r="D796" i="1"/>
  <c r="B794" i="1"/>
  <c r="B792" i="1"/>
  <c r="C790" i="1"/>
  <c r="A786" i="1"/>
  <c r="D785" i="1"/>
  <c r="G782" i="1"/>
  <c r="A781" i="1"/>
  <c r="A779" i="1"/>
  <c r="F776" i="1"/>
  <c r="E774" i="1"/>
  <c r="F771" i="1"/>
  <c r="G769" i="1"/>
  <c r="B685" i="1"/>
  <c r="B683" i="1"/>
  <c r="C680" i="1"/>
  <c r="G679" i="1"/>
  <c r="D675" i="1"/>
  <c r="D672" i="1"/>
  <c r="E670" i="1"/>
  <c r="F667" i="1"/>
  <c r="A666" i="1"/>
  <c r="G663" i="1"/>
  <c r="C662" i="1"/>
  <c r="B660" i="1"/>
  <c r="G657" i="1"/>
  <c r="A656" i="1"/>
  <c r="E654" i="1"/>
  <c r="A652" i="1"/>
  <c r="B649" i="1"/>
  <c r="G646" i="1"/>
  <c r="B645" i="1"/>
  <c r="A643" i="1"/>
  <c r="G640" i="1"/>
  <c r="H637" i="1"/>
  <c r="A635" i="1"/>
  <c r="B633" i="1"/>
  <c r="B631" i="1"/>
  <c r="G626" i="1"/>
  <c r="C623" i="1"/>
  <c r="A621" i="1"/>
  <c r="G617" i="1"/>
  <c r="H615" i="1"/>
  <c r="G609" i="1"/>
  <c r="F607" i="1"/>
  <c r="E605" i="1"/>
  <c r="A604" i="1"/>
  <c r="E601" i="1"/>
  <c r="F600" i="1"/>
  <c r="H596" i="1"/>
  <c r="F594" i="1"/>
  <c r="G592" i="1"/>
  <c r="G590" i="1"/>
  <c r="H586" i="1"/>
  <c r="D585" i="1"/>
  <c r="E583" i="1"/>
  <c r="F581" i="1"/>
  <c r="G578" i="1"/>
  <c r="F575" i="1"/>
  <c r="C573" i="1"/>
  <c r="G570" i="1"/>
  <c r="G568" i="1"/>
  <c r="F566" i="1"/>
  <c r="H564" i="1"/>
  <c r="A563" i="1"/>
  <c r="F559" i="1"/>
  <c r="C556" i="1"/>
  <c r="E554" i="1"/>
  <c r="H551" i="1"/>
  <c r="H548" i="1"/>
  <c r="F543" i="1"/>
  <c r="A543" i="1"/>
  <c r="D538" i="1"/>
  <c r="G536" i="1"/>
  <c r="G534" i="1"/>
  <c r="F532" i="1"/>
  <c r="G530" i="1"/>
  <c r="F526" i="1"/>
  <c r="E523" i="1"/>
  <c r="G519" i="1"/>
  <c r="C517" i="1"/>
  <c r="D397" i="1"/>
  <c r="H395" i="1"/>
  <c r="G389" i="1"/>
  <c r="E386" i="1"/>
  <c r="B384" i="1"/>
  <c r="F381" i="1"/>
  <c r="C379" i="1"/>
  <c r="F377" i="1"/>
  <c r="D372" i="1"/>
  <c r="G368" i="1"/>
  <c r="F362" i="1"/>
  <c r="B344" i="1"/>
  <c r="B342" i="1"/>
  <c r="B338" i="1"/>
  <c r="B334" i="1"/>
  <c r="B331" i="1"/>
  <c r="C325" i="1"/>
  <c r="B317" i="1"/>
  <c r="G312" i="1"/>
  <c r="A311" i="1"/>
  <c r="B308" i="1"/>
  <c r="E301" i="1"/>
  <c r="F298" i="1"/>
  <c r="G296" i="1"/>
  <c r="A295" i="1"/>
  <c r="D288" i="1"/>
  <c r="E284" i="1"/>
  <c r="F279" i="1"/>
  <c r="G278" i="1"/>
  <c r="G274" i="1"/>
  <c r="C270" i="1"/>
  <c r="D268" i="1"/>
  <c r="D263" i="1"/>
  <c r="G71" i="1"/>
  <c r="F60" i="1"/>
  <c r="G39" i="1"/>
  <c r="C31" i="1"/>
  <c r="G23" i="1"/>
  <c r="G18" i="1"/>
  <c r="D14" i="1"/>
  <c r="C805" i="1"/>
  <c r="A799" i="1"/>
  <c r="G796" i="1"/>
  <c r="F794" i="1"/>
  <c r="G792" i="1"/>
  <c r="H790" i="1"/>
  <c r="F788" i="1"/>
  <c r="G786" i="1"/>
  <c r="A785" i="1"/>
  <c r="C783" i="1"/>
  <c r="B781" i="1"/>
  <c r="D779" i="1"/>
  <c r="F778" i="1"/>
  <c r="E776" i="1"/>
  <c r="F774" i="1"/>
  <c r="A773" i="1"/>
  <c r="A771" i="1"/>
  <c r="D769" i="1"/>
  <c r="H686" i="1"/>
  <c r="H684" i="1"/>
  <c r="A683" i="1"/>
  <c r="D680" i="1"/>
  <c r="H678" i="1"/>
  <c r="B677" i="1"/>
  <c r="E675" i="1"/>
  <c r="F673" i="1"/>
  <c r="G670" i="1"/>
  <c r="E668" i="1"/>
  <c r="D666" i="1"/>
  <c r="D664" i="1"/>
  <c r="A662" i="1"/>
  <c r="D660" i="1"/>
  <c r="A657" i="1"/>
  <c r="G654" i="1"/>
  <c r="G650" i="1"/>
  <c r="H648" i="1"/>
  <c r="A647" i="1"/>
  <c r="D645" i="1"/>
  <c r="E643" i="1"/>
  <c r="E640" i="1"/>
  <c r="D638" i="1"/>
  <c r="G635" i="1"/>
  <c r="F633" i="1"/>
  <c r="H631" i="1"/>
  <c r="A629" i="1"/>
  <c r="C627" i="1"/>
  <c r="B624" i="1"/>
  <c r="D621" i="1"/>
  <c r="B618" i="1"/>
  <c r="E616" i="1"/>
  <c r="G613" i="1"/>
  <c r="D610" i="1"/>
  <c r="G607" i="1"/>
  <c r="H605" i="1"/>
  <c r="E604" i="1"/>
  <c r="A603" i="1"/>
  <c r="C601" i="1"/>
  <c r="E598" i="1"/>
  <c r="A597" i="1"/>
  <c r="G594" i="1"/>
  <c r="B593" i="1"/>
  <c r="C591" i="1"/>
  <c r="H584" i="1"/>
  <c r="C583" i="1"/>
  <c r="E581" i="1"/>
  <c r="G579" i="1"/>
  <c r="G577" i="1"/>
  <c r="G575" i="1"/>
  <c r="A573" i="1"/>
  <c r="B571" i="1"/>
  <c r="A569" i="1"/>
  <c r="G566" i="1"/>
  <c r="B565" i="1"/>
  <c r="D563" i="1"/>
  <c r="F560" i="1"/>
  <c r="C557" i="1"/>
  <c r="D555" i="1"/>
  <c r="B552" i="1"/>
  <c r="F550" i="1"/>
  <c r="C549" i="1"/>
  <c r="F547" i="1"/>
  <c r="G545" i="1"/>
  <c r="C543" i="1"/>
  <c r="C643" i="1"/>
  <c r="B642" i="1"/>
  <c r="C641" i="1"/>
  <c r="C640" i="1"/>
  <c r="G639" i="1"/>
  <c r="B639" i="1"/>
  <c r="C638" i="1"/>
  <c r="E637" i="1"/>
  <c r="A637" i="1"/>
  <c r="A636" i="1"/>
  <c r="E635" i="1"/>
  <c r="G634" i="1"/>
  <c r="C634" i="1"/>
  <c r="G633" i="1"/>
  <c r="C633" i="1"/>
  <c r="C632" i="1"/>
  <c r="C631" i="1"/>
  <c r="G630" i="1"/>
  <c r="D630" i="1"/>
  <c r="C629" i="1"/>
  <c r="F628" i="1"/>
  <c r="F627" i="1"/>
  <c r="F626" i="1"/>
  <c r="A626" i="1"/>
  <c r="E625" i="1"/>
  <c r="A625" i="1"/>
  <c r="D624" i="1"/>
  <c r="F623" i="1"/>
  <c r="H622" i="1"/>
  <c r="D622" i="1"/>
  <c r="B622" i="1"/>
  <c r="G621" i="1"/>
  <c r="C621" i="1"/>
  <c r="B620" i="1"/>
  <c r="D619" i="1"/>
  <c r="H618" i="1"/>
  <c r="D617" i="1"/>
  <c r="B616" i="1"/>
  <c r="A615" i="1"/>
  <c r="E614" i="1"/>
  <c r="A614" i="1"/>
  <c r="B613" i="1"/>
  <c r="F612" i="1"/>
  <c r="G611" i="1"/>
  <c r="H610" i="1"/>
  <c r="C610" i="1"/>
  <c r="B609" i="1"/>
  <c r="C608" i="1"/>
  <c r="B607" i="1"/>
  <c r="D606" i="1"/>
  <c r="F605" i="1"/>
  <c r="H603" i="1"/>
  <c r="H602" i="1"/>
  <c r="B602" i="1"/>
  <c r="D601" i="1"/>
  <c r="G599" i="1"/>
  <c r="C599" i="1"/>
  <c r="E597" i="1"/>
  <c r="G596" i="1"/>
  <c r="H595" i="1"/>
  <c r="D594" i="1"/>
  <c r="D593" i="1"/>
  <c r="H592" i="1"/>
  <c r="A592" i="1"/>
  <c r="B591" i="1"/>
  <c r="E590" i="1"/>
  <c r="H589" i="1"/>
  <c r="C589" i="1"/>
  <c r="B588" i="1"/>
  <c r="E587" i="1"/>
  <c r="B587" i="1"/>
  <c r="G586" i="1"/>
  <c r="A586" i="1"/>
  <c r="C585" i="1"/>
  <c r="G584" i="1"/>
  <c r="D583" i="1"/>
  <c r="H581" i="1"/>
  <c r="B581" i="1"/>
  <c r="G580" i="1"/>
  <c r="C580" i="1"/>
  <c r="E578" i="1"/>
  <c r="B577" i="1"/>
  <c r="E576" i="1"/>
  <c r="C576" i="1"/>
  <c r="E575" i="1"/>
  <c r="C575" i="1"/>
  <c r="F574" i="1"/>
  <c r="A574" i="1"/>
  <c r="B573" i="1"/>
  <c r="E572" i="1"/>
  <c r="E571" i="1"/>
  <c r="B570" i="1"/>
  <c r="B569" i="1"/>
  <c r="C568" i="1"/>
  <c r="B567" i="1"/>
  <c r="D566" i="1"/>
  <c r="A565" i="1"/>
  <c r="D564" i="1"/>
  <c r="E562" i="1"/>
  <c r="F561" i="1"/>
  <c r="C561" i="1"/>
  <c r="G560" i="1"/>
  <c r="D560" i="1"/>
  <c r="A959" i="1"/>
  <c r="H957" i="1"/>
  <c r="G956" i="1"/>
  <c r="F955" i="1"/>
  <c r="E954" i="1"/>
  <c r="D953" i="1"/>
  <c r="E952" i="1"/>
  <c r="E951" i="1"/>
  <c r="F950" i="1"/>
  <c r="E949" i="1"/>
  <c r="D948" i="1"/>
  <c r="C947" i="1"/>
  <c r="B946" i="1"/>
  <c r="A945" i="1"/>
  <c r="H943" i="1"/>
  <c r="G942" i="1"/>
  <c r="F941" i="1"/>
  <c r="C939" i="1"/>
  <c r="G935" i="1"/>
  <c r="B935" i="1"/>
  <c r="D934" i="1"/>
  <c r="G933" i="1"/>
  <c r="F932" i="1"/>
  <c r="H931" i="1"/>
  <c r="D931" i="1"/>
  <c r="F930" i="1"/>
  <c r="H929" i="1"/>
  <c r="B929" i="1"/>
  <c r="D928" i="1"/>
  <c r="F927" i="1"/>
  <c r="C927" i="1"/>
  <c r="B926" i="1"/>
  <c r="E925" i="1"/>
  <c r="H924" i="1"/>
  <c r="G923" i="1"/>
  <c r="B923" i="1"/>
  <c r="B922" i="1"/>
  <c r="C921" i="1"/>
  <c r="G920" i="1"/>
  <c r="G919" i="1"/>
  <c r="A919" i="1"/>
  <c r="C918" i="1"/>
  <c r="E917" i="1"/>
  <c r="G916" i="1"/>
  <c r="A916" i="1"/>
  <c r="C915" i="1"/>
  <c r="E914" i="1"/>
  <c r="G913" i="1"/>
  <c r="A913" i="1"/>
  <c r="C912" i="1"/>
  <c r="E911" i="1"/>
  <c r="H910" i="1"/>
  <c r="G909" i="1"/>
  <c r="D909" i="1"/>
  <c r="C908" i="1"/>
  <c r="E907" i="1"/>
  <c r="A907" i="1"/>
  <c r="C906" i="1"/>
  <c r="E905" i="1"/>
  <c r="G904" i="1"/>
  <c r="A904" i="1"/>
  <c r="C903" i="1"/>
  <c r="F902" i="1"/>
  <c r="H901" i="1"/>
  <c r="H899" i="1"/>
  <c r="B897" i="1"/>
  <c r="C894" i="1"/>
  <c r="B891" i="1"/>
  <c r="A889" i="1"/>
  <c r="D885" i="1"/>
  <c r="E882" i="1"/>
  <c r="B881" i="1"/>
  <c r="B877" i="1"/>
  <c r="F874" i="1"/>
  <c r="B872" i="1"/>
  <c r="H869" i="1"/>
  <c r="A867" i="1"/>
  <c r="C864" i="1"/>
  <c r="D861" i="1"/>
  <c r="E146" i="1"/>
  <c r="B146" i="1"/>
  <c r="F145" i="1"/>
  <c r="B145" i="1"/>
  <c r="F144" i="1"/>
  <c r="B144" i="1"/>
  <c r="F143" i="1"/>
  <c r="D143" i="1"/>
  <c r="H142" i="1"/>
  <c r="D142" i="1"/>
  <c r="H141" i="1"/>
  <c r="D141" i="1"/>
  <c r="H140" i="1"/>
  <c r="D140" i="1"/>
  <c r="G139" i="1"/>
  <c r="C139" i="1"/>
  <c r="G138" i="1"/>
  <c r="B138" i="1"/>
  <c r="H137" i="1"/>
  <c r="D137" i="1"/>
  <c r="H136" i="1"/>
  <c r="D136" i="1"/>
  <c r="H135" i="1"/>
  <c r="D135" i="1"/>
  <c r="H134" i="1"/>
  <c r="D134" i="1"/>
  <c r="H133" i="1"/>
  <c r="D133" i="1"/>
  <c r="H132" i="1"/>
  <c r="D132" i="1"/>
  <c r="G131" i="1"/>
  <c r="C131" i="1"/>
  <c r="H130" i="1"/>
  <c r="D130" i="1"/>
  <c r="H129" i="1"/>
  <c r="D129" i="1"/>
  <c r="H128" i="1"/>
  <c r="D128" i="1"/>
  <c r="H127" i="1"/>
  <c r="D127" i="1"/>
  <c r="H126" i="1"/>
  <c r="D126" i="1"/>
  <c r="H125" i="1"/>
  <c r="D125" i="1"/>
  <c r="H124" i="1"/>
  <c r="D124" i="1"/>
  <c r="H123" i="1"/>
  <c r="E123" i="1"/>
  <c r="G122" i="1"/>
  <c r="D122" i="1"/>
  <c r="H121" i="1"/>
  <c r="D121" i="1"/>
  <c r="H120" i="1"/>
  <c r="E120" i="1"/>
  <c r="H119" i="1"/>
  <c r="D119" i="1"/>
  <c r="H118" i="1"/>
  <c r="D118" i="1"/>
  <c r="H117" i="1"/>
  <c r="D117" i="1"/>
  <c r="H116" i="1"/>
  <c r="B116" i="1"/>
  <c r="A116" i="1"/>
  <c r="E115" i="1"/>
  <c r="A115" i="1"/>
  <c r="E114" i="1"/>
  <c r="G113" i="1"/>
  <c r="D113" i="1"/>
  <c r="F112" i="1"/>
  <c r="C112" i="1"/>
  <c r="F111" i="1"/>
  <c r="B111" i="1"/>
  <c r="F110" i="1"/>
  <c r="B110" i="1"/>
  <c r="E109" i="1"/>
  <c r="A109" i="1"/>
  <c r="F108" i="1"/>
  <c r="B108" i="1"/>
  <c r="F107" i="1"/>
  <c r="B107" i="1"/>
  <c r="F106" i="1"/>
  <c r="B106" i="1"/>
  <c r="F105" i="1"/>
  <c r="B105" i="1"/>
  <c r="F104" i="1"/>
  <c r="B104" i="1"/>
  <c r="F103" i="1"/>
  <c r="B103" i="1"/>
  <c r="F102" i="1"/>
  <c r="C102" i="1"/>
  <c r="G101" i="1"/>
  <c r="C101" i="1"/>
  <c r="G100" i="1"/>
  <c r="C100" i="1"/>
  <c r="F99" i="1"/>
  <c r="B99" i="1"/>
  <c r="D98" i="1"/>
  <c r="B98" i="1"/>
  <c r="F97" i="1"/>
  <c r="B97" i="1"/>
  <c r="F96" i="1"/>
  <c r="B96" i="1"/>
  <c r="F95" i="1"/>
  <c r="B95" i="1"/>
  <c r="F94" i="1"/>
  <c r="B94" i="1"/>
  <c r="F93" i="1"/>
  <c r="E93" i="1"/>
  <c r="G92" i="1"/>
  <c r="C92" i="1"/>
  <c r="H91" i="1"/>
  <c r="B91" i="1"/>
  <c r="A91" i="1"/>
  <c r="E90" i="1"/>
  <c r="G89" i="1"/>
  <c r="D89" i="1"/>
  <c r="G88" i="1"/>
  <c r="D88" i="1"/>
  <c r="H87" i="1"/>
  <c r="D87" i="1"/>
  <c r="H86" i="1"/>
  <c r="D86" i="1"/>
  <c r="H85" i="1"/>
  <c r="D85" i="1"/>
  <c r="H84" i="1"/>
  <c r="D84" i="1"/>
  <c r="A84" i="1"/>
  <c r="D83" i="1"/>
  <c r="G82" i="1"/>
  <c r="C82" i="1"/>
  <c r="G81" i="1"/>
  <c r="C81" i="1"/>
  <c r="G80" i="1"/>
  <c r="C80" i="1"/>
  <c r="G79" i="1"/>
  <c r="B79" i="1"/>
  <c r="E78" i="1"/>
  <c r="A78" i="1"/>
  <c r="D554" i="1"/>
  <c r="C553" i="1"/>
  <c r="E551" i="1"/>
  <c r="E549" i="1"/>
  <c r="E546" i="1"/>
  <c r="B545" i="1"/>
  <c r="F542" i="1"/>
  <c r="C541" i="1"/>
  <c r="A540" i="1"/>
  <c r="A538" i="1"/>
  <c r="D536" i="1"/>
  <c r="E534" i="1"/>
  <c r="B533" i="1"/>
  <c r="B531" i="1"/>
  <c r="F529" i="1"/>
  <c r="E528" i="1"/>
  <c r="C526" i="1"/>
  <c r="D524" i="1"/>
  <c r="H522" i="1"/>
  <c r="B521" i="1"/>
  <c r="E519" i="1"/>
  <c r="G77" i="1"/>
  <c r="C77" i="1"/>
  <c r="C75" i="1"/>
  <c r="G59" i="1"/>
  <c r="G42" i="1"/>
  <c r="F32" i="1"/>
  <c r="F20" i="1"/>
  <c r="C803" i="1"/>
  <c r="B801" i="1"/>
  <c r="C800" i="1"/>
  <c r="H796" i="1"/>
  <c r="A795" i="1"/>
  <c r="F790" i="1"/>
  <c r="H788" i="1"/>
  <c r="E786" i="1"/>
  <c r="B784" i="1"/>
  <c r="E782" i="1"/>
  <c r="H779" i="1"/>
  <c r="B777" i="1"/>
  <c r="B773" i="1"/>
  <c r="C771" i="1"/>
  <c r="C768" i="1"/>
  <c r="F685" i="1"/>
  <c r="D681" i="1"/>
  <c r="H676" i="1"/>
  <c r="D673" i="1"/>
  <c r="A672" i="1"/>
  <c r="D668" i="1"/>
  <c r="A665" i="1"/>
  <c r="H661" i="1"/>
  <c r="C658" i="1"/>
  <c r="H655" i="1"/>
  <c r="A654" i="1"/>
  <c r="D651" i="1"/>
  <c r="H649" i="1"/>
  <c r="B646" i="1"/>
  <c r="B641" i="1"/>
  <c r="A639" i="1"/>
  <c r="B635" i="1"/>
  <c r="D632" i="1"/>
  <c r="H629" i="1"/>
  <c r="A627" i="1"/>
  <c r="G624" i="1"/>
  <c r="E620" i="1"/>
  <c r="A618" i="1"/>
  <c r="B615" i="1"/>
  <c r="C613" i="1"/>
  <c r="B612" i="1"/>
  <c r="B608" i="1"/>
  <c r="H604" i="1"/>
  <c r="C602" i="1"/>
  <c r="F599" i="1"/>
  <c r="E595" i="1"/>
  <c r="E593" i="1"/>
  <c r="D588" i="1"/>
  <c r="D584" i="1"/>
  <c r="A581" i="1"/>
  <c r="C579" i="1"/>
  <c r="H575" i="1"/>
  <c r="C574" i="1"/>
  <c r="F571" i="1"/>
  <c r="D569" i="1"/>
  <c r="F567" i="1"/>
  <c r="E564" i="1"/>
  <c r="B562" i="1"/>
  <c r="D561" i="1"/>
  <c r="B560" i="1"/>
  <c r="D558" i="1"/>
  <c r="H556" i="1"/>
  <c r="A554" i="1"/>
  <c r="G551" i="1"/>
  <c r="A551" i="1"/>
  <c r="F548" i="1"/>
  <c r="H545" i="1"/>
  <c r="D544" i="1"/>
  <c r="B544" i="1"/>
  <c r="A542" i="1"/>
  <c r="D539" i="1"/>
  <c r="B537" i="1"/>
  <c r="D535" i="1"/>
  <c r="A533" i="1"/>
  <c r="E527" i="1"/>
  <c r="D525" i="1"/>
  <c r="F521" i="1"/>
  <c r="F520" i="1"/>
  <c r="E518" i="1"/>
  <c r="A516" i="1"/>
  <c r="G399" i="1"/>
  <c r="F396" i="1"/>
  <c r="H393" i="1"/>
  <c r="H391" i="1"/>
  <c r="H389" i="1"/>
  <c r="C387" i="1"/>
  <c r="F386" i="1"/>
  <c r="G383" i="1"/>
  <c r="E379" i="1"/>
  <c r="G377" i="1"/>
  <c r="D374" i="1"/>
  <c r="F369" i="1"/>
  <c r="A366" i="1"/>
  <c r="B364" i="1"/>
  <c r="B360" i="1"/>
  <c r="F357" i="1"/>
  <c r="B354" i="1"/>
  <c r="F352" i="1"/>
  <c r="A349" i="1"/>
  <c r="G347" i="1"/>
  <c r="G345" i="1"/>
  <c r="A345" i="1"/>
  <c r="D343" i="1"/>
  <c r="G340" i="1"/>
  <c r="E336" i="1"/>
  <c r="G333" i="1"/>
  <c r="E329" i="1"/>
  <c r="G326" i="1"/>
  <c r="B324" i="1"/>
  <c r="G322" i="1"/>
  <c r="A320" i="1"/>
  <c r="C318" i="1"/>
  <c r="F316" i="1"/>
  <c r="G314" i="1"/>
  <c r="D313" i="1"/>
  <c r="C310" i="1"/>
  <c r="E307" i="1"/>
  <c r="A304" i="1"/>
  <c r="B302" i="1"/>
  <c r="F297" i="1"/>
  <c r="B295" i="1"/>
  <c r="H292" i="1"/>
  <c r="H289" i="1"/>
  <c r="A287" i="1"/>
  <c r="D284" i="1"/>
  <c r="E281" i="1"/>
  <c r="C278" i="1"/>
  <c r="B275" i="1"/>
  <c r="B272" i="1"/>
  <c r="A269" i="1"/>
  <c r="A266" i="1"/>
  <c r="G264" i="1"/>
  <c r="E262" i="1"/>
  <c r="E76" i="1"/>
  <c r="G74" i="1"/>
  <c r="F72" i="1"/>
  <c r="E71" i="1"/>
  <c r="E69" i="1"/>
  <c r="E67" i="1"/>
  <c r="D66" i="1"/>
  <c r="F64" i="1"/>
  <c r="G62" i="1"/>
  <c r="C60" i="1"/>
  <c r="C58" i="1"/>
  <c r="F54" i="1"/>
  <c r="D52" i="1"/>
  <c r="H49" i="1"/>
  <c r="F47" i="1"/>
  <c r="F45" i="1"/>
  <c r="G41" i="1"/>
  <c r="A39" i="1"/>
  <c r="F35" i="1"/>
  <c r="F34" i="1"/>
  <c r="A30" i="1"/>
  <c r="A28" i="1"/>
  <c r="B27" i="1"/>
  <c r="H24" i="1"/>
  <c r="B22" i="1"/>
  <c r="D19" i="1"/>
  <c r="B16" i="1"/>
  <c r="G15" i="1"/>
  <c r="C13" i="1"/>
  <c r="C11" i="1"/>
  <c r="C799" i="1"/>
  <c r="B795" i="1"/>
  <c r="B790" i="1"/>
  <c r="D788" i="1"/>
  <c r="E784" i="1"/>
  <c r="H780" i="1"/>
  <c r="H777" i="1"/>
  <c r="A774" i="1"/>
  <c r="D768" i="1"/>
  <c r="D685" i="1"/>
  <c r="B679" i="1"/>
  <c r="C676" i="1"/>
  <c r="C669" i="1"/>
  <c r="B666" i="1"/>
  <c r="F661" i="1"/>
  <c r="B659" i="1"/>
  <c r="B654" i="1"/>
  <c r="E646" i="1"/>
  <c r="F641" i="1"/>
  <c r="E638" i="1"/>
  <c r="H633" i="1"/>
  <c r="H627" i="1"/>
  <c r="A623" i="1"/>
  <c r="F617" i="1"/>
  <c r="G615" i="1"/>
  <c r="E607" i="1"/>
  <c r="F603" i="1"/>
  <c r="B600" i="1"/>
  <c r="D597" i="1"/>
  <c r="E594" i="1"/>
  <c r="H590" i="1"/>
  <c r="H583" i="1"/>
  <c r="A580" i="1"/>
  <c r="B575" i="1"/>
  <c r="B572" i="1"/>
  <c r="E565" i="1"/>
  <c r="B563" i="1"/>
  <c r="G556" i="1"/>
  <c r="B551" i="1"/>
  <c r="B547" i="1"/>
  <c r="G542" i="1"/>
  <c r="A539" i="1"/>
  <c r="C536" i="1"/>
  <c r="C532" i="1"/>
  <c r="B527" i="1"/>
  <c r="D1146" i="1"/>
  <c r="C959" i="1"/>
  <c r="A958" i="1"/>
  <c r="H956" i="1"/>
  <c r="G955" i="1"/>
  <c r="F954" i="1"/>
  <c r="G953" i="1"/>
  <c r="H952" i="1"/>
  <c r="H951" i="1"/>
  <c r="G950" i="1"/>
  <c r="F949" i="1"/>
  <c r="E948" i="1"/>
  <c r="D947" i="1"/>
  <c r="D946" i="1"/>
  <c r="C945" i="1"/>
  <c r="B944" i="1"/>
  <c r="A943" i="1"/>
  <c r="H941" i="1"/>
  <c r="E939" i="1"/>
  <c r="A936" i="1"/>
  <c r="D935" i="1"/>
  <c r="G934" i="1"/>
  <c r="B934" i="1"/>
  <c r="D933" i="1"/>
  <c r="H932" i="1"/>
  <c r="C932" i="1"/>
  <c r="E931" i="1"/>
  <c r="G930" i="1"/>
  <c r="A930" i="1"/>
  <c r="C929" i="1"/>
  <c r="E928" i="1"/>
  <c r="B928" i="1"/>
  <c r="B927" i="1"/>
  <c r="D926" i="1"/>
  <c r="F925" i="1"/>
  <c r="G924" i="1"/>
  <c r="B924" i="1"/>
  <c r="D923" i="1"/>
  <c r="F922" i="1"/>
  <c r="H921" i="1"/>
  <c r="B921" i="1"/>
  <c r="D920" i="1"/>
  <c r="H919" i="1"/>
  <c r="B919" i="1"/>
  <c r="D918" i="1"/>
  <c r="F917" i="1"/>
  <c r="H916" i="1"/>
  <c r="B916" i="1"/>
  <c r="D915" i="1"/>
  <c r="F914" i="1"/>
  <c r="H913" i="1"/>
  <c r="D913" i="1"/>
  <c r="G912" i="1"/>
  <c r="A912" i="1"/>
  <c r="C911" i="1"/>
  <c r="E910" i="1"/>
  <c r="H909" i="1"/>
  <c r="A909" i="1"/>
  <c r="E908" i="1"/>
  <c r="D907" i="1"/>
  <c r="G906" i="1"/>
  <c r="H905" i="1"/>
  <c r="B905" i="1"/>
  <c r="E904" i="1"/>
  <c r="G903" i="1"/>
  <c r="A903" i="1"/>
  <c r="C902" i="1"/>
  <c r="E901" i="1"/>
  <c r="C901" i="1"/>
  <c r="D896" i="1"/>
  <c r="F894" i="1"/>
  <c r="F890" i="1"/>
  <c r="F888" i="1"/>
  <c r="A885" i="1"/>
  <c r="G883" i="1"/>
  <c r="H879" i="1"/>
  <c r="E876" i="1"/>
  <c r="A875" i="1"/>
  <c r="E870" i="1"/>
  <c r="D868" i="1"/>
  <c r="H864" i="1"/>
  <c r="A863" i="1"/>
  <c r="D860" i="1"/>
  <c r="C146" i="1"/>
  <c r="G145" i="1"/>
  <c r="C145" i="1"/>
  <c r="G144" i="1"/>
  <c r="C144" i="1"/>
  <c r="G143" i="1"/>
  <c r="C143" i="1"/>
  <c r="G142" i="1"/>
  <c r="B142" i="1"/>
  <c r="F141" i="1"/>
  <c r="B141" i="1"/>
  <c r="F140" i="1"/>
  <c r="B140" i="1"/>
  <c r="F139" i="1"/>
  <c r="B139" i="1"/>
  <c r="F138" i="1"/>
  <c r="C138" i="1"/>
  <c r="F137" i="1"/>
  <c r="B137" i="1"/>
  <c r="F136" i="1"/>
  <c r="A136" i="1"/>
  <c r="F135" i="1"/>
  <c r="B135" i="1"/>
  <c r="F134" i="1"/>
  <c r="B134" i="1"/>
  <c r="F133" i="1"/>
  <c r="B133" i="1"/>
  <c r="F132" i="1"/>
  <c r="B132" i="1"/>
  <c r="F131" i="1"/>
  <c r="B131" i="1"/>
  <c r="F130" i="1"/>
  <c r="B130" i="1"/>
  <c r="E129" i="1"/>
  <c r="A129" i="1"/>
  <c r="E128" i="1"/>
  <c r="A128" i="1"/>
  <c r="E127" i="1"/>
  <c r="A127" i="1"/>
  <c r="E126" i="1"/>
  <c r="A126" i="1"/>
  <c r="G125" i="1"/>
  <c r="B125" i="1"/>
  <c r="E124" i="1"/>
  <c r="A124" i="1"/>
  <c r="D123" i="1"/>
  <c r="A123" i="1"/>
  <c r="C122" i="1"/>
  <c r="G121" i="1"/>
  <c r="C121" i="1"/>
  <c r="G120" i="1"/>
  <c r="C120" i="1"/>
  <c r="G119" i="1"/>
  <c r="C119" i="1"/>
  <c r="G118" i="1"/>
  <c r="C118" i="1"/>
  <c r="G117" i="1"/>
  <c r="C117" i="1"/>
  <c r="G116" i="1"/>
  <c r="E116" i="1"/>
  <c r="F115" i="1"/>
  <c r="B115" i="1"/>
  <c r="G114" i="1"/>
  <c r="C114" i="1"/>
  <c r="H113" i="1"/>
  <c r="E113" i="1"/>
  <c r="G112" i="1"/>
  <c r="D112" i="1"/>
  <c r="H111" i="1"/>
  <c r="D111" i="1"/>
  <c r="H110" i="1"/>
  <c r="D110" i="1"/>
  <c r="H109" i="1"/>
  <c r="D109" i="1"/>
  <c r="H108" i="1"/>
  <c r="E108" i="1"/>
  <c r="A108" i="1"/>
  <c r="D107" i="1"/>
  <c r="H106" i="1"/>
  <c r="C106" i="1"/>
  <c r="G105" i="1"/>
  <c r="C105" i="1"/>
  <c r="A105" i="1"/>
  <c r="E104" i="1"/>
  <c r="A104" i="1"/>
  <c r="E103" i="1"/>
  <c r="A103" i="1"/>
  <c r="E102" i="1"/>
  <c r="A102" i="1"/>
  <c r="E101" i="1"/>
  <c r="A101" i="1"/>
  <c r="E100" i="1"/>
  <c r="A100" i="1"/>
  <c r="E99" i="1"/>
  <c r="A99" i="1"/>
  <c r="E98" i="1"/>
  <c r="H97" i="1"/>
  <c r="D97" i="1"/>
  <c r="H96" i="1"/>
  <c r="D96" i="1"/>
  <c r="H95" i="1"/>
  <c r="D95" i="1"/>
  <c r="A95" i="1"/>
  <c r="E94" i="1"/>
  <c r="A94" i="1"/>
  <c r="B93" i="1"/>
  <c r="F92" i="1"/>
  <c r="B92" i="1"/>
  <c r="F91" i="1"/>
  <c r="D91" i="1"/>
  <c r="F90" i="1"/>
  <c r="B90" i="1"/>
  <c r="F89" i="1"/>
  <c r="B89" i="1"/>
  <c r="F88" i="1"/>
  <c r="B88" i="1"/>
  <c r="F87" i="1"/>
  <c r="B87" i="1"/>
  <c r="F86" i="1"/>
  <c r="B86" i="1"/>
  <c r="F85" i="1"/>
  <c r="B85" i="1"/>
  <c r="F84" i="1"/>
  <c r="B84" i="1"/>
  <c r="F83" i="1"/>
  <c r="B83" i="1"/>
  <c r="F82" i="1"/>
  <c r="B82" i="1"/>
  <c r="F81" i="1"/>
  <c r="B81" i="1"/>
  <c r="F80" i="1"/>
  <c r="B80" i="1"/>
  <c r="F79" i="1"/>
  <c r="D79" i="1"/>
  <c r="H78" i="1"/>
  <c r="D78" i="1"/>
  <c r="H77" i="1"/>
  <c r="D77" i="1"/>
  <c r="H76" i="1"/>
  <c r="C74" i="1"/>
  <c r="F55" i="1"/>
  <c r="F40" i="1"/>
  <c r="F31" i="1"/>
  <c r="E10" i="1"/>
  <c r="F801" i="1"/>
  <c r="D799" i="1"/>
  <c r="C796" i="1"/>
  <c r="G793" i="1"/>
  <c r="D792" i="1"/>
  <c r="C789" i="1"/>
  <c r="H786" i="1"/>
  <c r="H784" i="1"/>
  <c r="A782" i="1"/>
  <c r="G777" i="1"/>
  <c r="B774" i="1"/>
  <c r="C772" i="1"/>
  <c r="H768" i="1"/>
  <c r="C686" i="1"/>
  <c r="E682" i="1"/>
  <c r="C679" i="1"/>
  <c r="H675" i="1"/>
  <c r="F672" i="1"/>
  <c r="E669" i="1"/>
  <c r="E665" i="1"/>
  <c r="H662" i="1"/>
  <c r="C659" i="1"/>
  <c r="C656" i="1"/>
  <c r="D653" i="1"/>
  <c r="A651" i="1"/>
  <c r="G648" i="1"/>
  <c r="H646" i="1"/>
  <c r="C642" i="1"/>
  <c r="B638" i="1"/>
  <c r="C636" i="1"/>
  <c r="A633" i="1"/>
  <c r="E630" i="1"/>
  <c r="G627" i="1"/>
  <c r="D625" i="1"/>
  <c r="D623" i="1"/>
  <c r="B619" i="1"/>
  <c r="F615" i="1"/>
  <c r="B614" i="1"/>
  <c r="E612" i="1"/>
  <c r="H608" i="1"/>
  <c r="B603" i="1"/>
  <c r="H600" i="1"/>
  <c r="G598" i="1"/>
  <c r="B595" i="1"/>
  <c r="H591" i="1"/>
  <c r="A589" i="1"/>
  <c r="D587" i="1"/>
  <c r="F583" i="1"/>
  <c r="D580" i="1"/>
  <c r="F577" i="1"/>
  <c r="G574" i="1"/>
  <c r="G573" i="1"/>
  <c r="H569" i="1"/>
  <c r="B568" i="1"/>
  <c r="A566" i="1"/>
  <c r="H562" i="1"/>
  <c r="G561" i="1"/>
  <c r="H560" i="1"/>
  <c r="H558" i="1"/>
  <c r="H557" i="1"/>
  <c r="G554" i="1"/>
  <c r="E553" i="1"/>
  <c r="D551" i="1"/>
  <c r="C550" i="1"/>
  <c r="B548" i="1"/>
  <c r="D545" i="1"/>
  <c r="H542" i="1"/>
  <c r="D540" i="1"/>
  <c r="F538" i="1"/>
  <c r="E536" i="1"/>
  <c r="H534" i="1"/>
  <c r="F533" i="1"/>
  <c r="C531" i="1"/>
  <c r="B530" i="1"/>
  <c r="G528" i="1"/>
  <c r="D526" i="1"/>
  <c r="C523" i="1"/>
  <c r="A521" i="1"/>
  <c r="D519" i="1"/>
  <c r="F517" i="1"/>
  <c r="B515" i="1"/>
  <c r="C398" i="1"/>
  <c r="D394" i="1"/>
  <c r="H392" i="1"/>
  <c r="B391" i="1"/>
  <c r="H387" i="1"/>
  <c r="B386" i="1"/>
  <c r="D383" i="1"/>
  <c r="B381" i="1"/>
  <c r="B378" i="1"/>
  <c r="A374" i="1"/>
  <c r="B370" i="1"/>
  <c r="A367" i="1"/>
  <c r="E363" i="1"/>
  <c r="B361" i="1"/>
  <c r="D358" i="1"/>
  <c r="H355" i="1"/>
  <c r="H351" i="1"/>
  <c r="B351" i="1"/>
  <c r="F348" i="1"/>
  <c r="A347" i="1"/>
  <c r="D345" i="1"/>
  <c r="G343" i="1"/>
  <c r="B341" i="1"/>
  <c r="D339" i="1"/>
  <c r="F334" i="1"/>
  <c r="E330" i="1"/>
  <c r="G327" i="1"/>
  <c r="C326" i="1"/>
  <c r="F323" i="1"/>
  <c r="C321" i="1"/>
  <c r="H317" i="1"/>
  <c r="E315" i="1"/>
  <c r="D314" i="1"/>
  <c r="A313" i="1"/>
  <c r="H308" i="1"/>
  <c r="E305" i="1"/>
  <c r="E303" i="1"/>
  <c r="D301" i="1"/>
  <c r="B297" i="1"/>
  <c r="B294" i="1"/>
  <c r="E291" i="1"/>
  <c r="E288" i="1"/>
  <c r="F286" i="1"/>
  <c r="B283" i="1"/>
  <c r="H279" i="1"/>
  <c r="E276" i="1"/>
  <c r="B274" i="1"/>
  <c r="C271" i="1"/>
  <c r="C267" i="1"/>
  <c r="E265" i="1"/>
  <c r="D264" i="1"/>
  <c r="C261" i="1"/>
  <c r="D75" i="1"/>
  <c r="B73" i="1"/>
  <c r="C72" i="1"/>
  <c r="H70" i="1"/>
  <c r="H68" i="1"/>
  <c r="A67" i="1"/>
  <c r="A65" i="1"/>
  <c r="D63" i="1"/>
  <c r="E60" i="1"/>
  <c r="A59" i="1"/>
  <c r="B55" i="1"/>
  <c r="F53" i="1"/>
  <c r="A52" i="1"/>
  <c r="F48" i="1"/>
  <c r="B46" i="1"/>
  <c r="G43" i="1"/>
  <c r="D41" i="1"/>
  <c r="E38" i="1"/>
  <c r="B35" i="1"/>
  <c r="A33" i="1"/>
  <c r="E29" i="1"/>
  <c r="F27" i="1"/>
  <c r="C25" i="1"/>
  <c r="B23" i="1"/>
  <c r="B20" i="1"/>
  <c r="H17" i="1"/>
  <c r="G14" i="1"/>
  <c r="H11" i="1"/>
  <c r="C10" i="1"/>
  <c r="B805" i="1"/>
  <c r="B797" i="1"/>
  <c r="C793" i="1"/>
  <c r="B789" i="1"/>
  <c r="E785" i="1"/>
  <c r="F781" i="1"/>
  <c r="A776" i="1"/>
  <c r="C773" i="1"/>
  <c r="B770" i="1"/>
  <c r="G684" i="1"/>
  <c r="B680" i="1"/>
  <c r="C675" i="1"/>
  <c r="H671" i="1"/>
  <c r="C667" i="1"/>
  <c r="D663" i="1"/>
  <c r="C660" i="1"/>
  <c r="C657" i="1"/>
  <c r="B653" i="1"/>
  <c r="B647" i="1"/>
  <c r="F640" i="1"/>
  <c r="G636" i="1"/>
  <c r="F631" i="1"/>
  <c r="B625" i="1"/>
  <c r="F619" i="1"/>
  <c r="C612" i="1"/>
  <c r="F609" i="1"/>
  <c r="D605" i="1"/>
  <c r="H601" i="1"/>
  <c r="A599" i="1"/>
  <c r="B596" i="1"/>
  <c r="C593" i="1"/>
  <c r="F591" i="1"/>
  <c r="B585" i="1"/>
  <c r="H580" i="1"/>
  <c r="A578" i="1"/>
  <c r="C569" i="1"/>
  <c r="D567" i="1"/>
  <c r="H561" i="1"/>
  <c r="F552" i="1"/>
  <c r="H549" i="1"/>
  <c r="D543" i="1"/>
  <c r="A541" i="1"/>
  <c r="A537" i="1"/>
  <c r="H532" i="1"/>
  <c r="A528" i="1"/>
  <c r="D523" i="1"/>
  <c r="A519" i="1"/>
  <c r="C516" i="1"/>
  <c r="G397" i="1"/>
  <c r="D395" i="1"/>
  <c r="F388" i="1"/>
  <c r="F382" i="1"/>
  <c r="G379" i="1"/>
  <c r="D377" i="1"/>
  <c r="F372" i="1"/>
  <c r="C365" i="1"/>
  <c r="H359" i="1"/>
  <c r="C342" i="1"/>
  <c r="F338" i="1"/>
  <c r="C337" i="1"/>
  <c r="F332" i="1"/>
  <c r="F330" i="1"/>
  <c r="A327" i="1"/>
  <c r="B325" i="1"/>
  <c r="F319" i="1"/>
  <c r="D311" i="1"/>
  <c r="B300" i="1"/>
  <c r="B1173" i="1"/>
  <c r="H1172" i="1"/>
  <c r="F1172" i="1"/>
  <c r="E1172" i="1"/>
  <c r="C1172" i="1"/>
  <c r="A1172" i="1"/>
  <c r="G1171" i="1"/>
  <c r="E1171" i="1"/>
  <c r="D1171" i="1"/>
  <c r="B1171" i="1"/>
  <c r="H1170" i="1"/>
  <c r="F1170" i="1"/>
  <c r="C1170" i="1"/>
  <c r="A1170" i="1"/>
  <c r="G1169" i="1"/>
  <c r="E1169" i="1"/>
  <c r="C1169" i="1"/>
  <c r="A1169" i="1"/>
  <c r="G1168" i="1"/>
  <c r="F1168" i="1"/>
  <c r="D1168" i="1"/>
  <c r="B1168" i="1"/>
  <c r="H1167" i="1"/>
  <c r="F1167" i="1"/>
  <c r="D1167" i="1"/>
  <c r="B1167" i="1"/>
  <c r="H1166" i="1"/>
  <c r="F1166" i="1"/>
  <c r="D1166" i="1"/>
  <c r="C1166" i="1"/>
  <c r="H1165" i="1"/>
  <c r="F1165" i="1"/>
  <c r="D1165" i="1"/>
  <c r="B1165" i="1"/>
  <c r="H1164" i="1"/>
  <c r="F1164" i="1"/>
  <c r="E1164" i="1"/>
  <c r="C1164" i="1"/>
  <c r="A1164" i="1"/>
  <c r="G1163" i="1"/>
  <c r="E1163" i="1"/>
  <c r="B1163" i="1"/>
  <c r="A1163" i="1"/>
  <c r="G1162" i="1"/>
  <c r="E1162" i="1"/>
  <c r="C1162" i="1"/>
  <c r="A1162" i="1"/>
  <c r="G1161" i="1"/>
  <c r="F1161" i="1"/>
  <c r="C1161" i="1"/>
  <c r="B1161" i="1"/>
  <c r="H1160" i="1"/>
  <c r="E1160" i="1"/>
  <c r="C1160" i="1"/>
  <c r="B1160" i="1"/>
  <c r="H1159" i="1"/>
  <c r="F1159" i="1"/>
  <c r="D1159" i="1"/>
  <c r="B1159" i="1"/>
  <c r="H1158" i="1"/>
  <c r="F1158" i="1"/>
  <c r="D1158" i="1"/>
  <c r="B1158" i="1"/>
  <c r="A1158" i="1"/>
  <c r="G1157" i="1"/>
  <c r="E1157" i="1"/>
  <c r="C1157" i="1"/>
  <c r="A1157" i="1"/>
  <c r="G1156" i="1"/>
  <c r="E1156" i="1"/>
  <c r="C1156" i="1"/>
  <c r="B1156" i="1"/>
  <c r="H1155" i="1"/>
  <c r="F1155" i="1"/>
  <c r="D1155" i="1"/>
  <c r="B1155" i="1"/>
  <c r="H1154" i="1"/>
  <c r="F1154" i="1"/>
  <c r="D1154" i="1"/>
  <c r="B1154" i="1"/>
  <c r="H1153" i="1"/>
  <c r="F1153" i="1"/>
  <c r="D1153" i="1"/>
  <c r="B1153" i="1"/>
  <c r="A1153" i="1"/>
  <c r="G1152" i="1"/>
  <c r="E1152" i="1"/>
  <c r="B1152" i="1"/>
  <c r="A1152" i="1"/>
  <c r="F1151" i="1"/>
  <c r="E1151" i="1"/>
  <c r="C1151" i="1"/>
  <c r="A1151" i="1"/>
  <c r="G1150" i="1"/>
  <c r="E1150" i="1"/>
  <c r="C1150" i="1"/>
  <c r="A1150" i="1"/>
  <c r="G1149" i="1"/>
  <c r="E1149" i="1"/>
  <c r="C1149" i="1"/>
  <c r="A1149" i="1"/>
  <c r="G1148" i="1"/>
  <c r="E1148" i="1"/>
  <c r="D1148" i="1"/>
  <c r="A1148" i="1"/>
  <c r="H1147" i="1"/>
  <c r="G1147" i="1"/>
  <c r="F1147" i="1"/>
  <c r="D1147" i="1"/>
  <c r="B1147" i="1"/>
  <c r="H1146" i="1"/>
  <c r="F1146" i="1"/>
  <c r="H657" i="1"/>
  <c r="E656" i="1"/>
  <c r="G655" i="1"/>
  <c r="C655" i="1"/>
  <c r="F653" i="1"/>
  <c r="D652" i="1"/>
  <c r="G651" i="1"/>
  <c r="C651" i="1"/>
  <c r="H650" i="1"/>
  <c r="B650" i="1"/>
  <c r="F649" i="1"/>
  <c r="E648" i="1"/>
  <c r="F647" i="1"/>
  <c r="H645" i="1"/>
  <c r="C645" i="1"/>
  <c r="C644" i="1"/>
  <c r="G643" i="1"/>
  <c r="F642" i="1"/>
  <c r="A642" i="1"/>
  <c r="D641" i="1"/>
  <c r="D640" i="1"/>
  <c r="H639" i="1"/>
  <c r="H638" i="1"/>
  <c r="F638" i="1"/>
  <c r="A638" i="1"/>
  <c r="D637" i="1"/>
  <c r="H636" i="1"/>
  <c r="B636" i="1"/>
  <c r="D635" i="1"/>
  <c r="D634" i="1"/>
  <c r="D633" i="1"/>
  <c r="F632" i="1"/>
  <c r="A632" i="1"/>
  <c r="D631" i="1"/>
  <c r="F630" i="1"/>
  <c r="B630" i="1"/>
  <c r="G629" i="1"/>
  <c r="E628" i="1"/>
  <c r="A628" i="1"/>
  <c r="D627" i="1"/>
  <c r="D626" i="1"/>
  <c r="H625" i="1"/>
  <c r="C625" i="1"/>
  <c r="C624" i="1"/>
  <c r="G622" i="1"/>
  <c r="C622" i="1"/>
  <c r="H620" i="1"/>
  <c r="D620" i="1"/>
  <c r="H619" i="1"/>
  <c r="C619" i="1"/>
  <c r="E618" i="1"/>
  <c r="B617" i="1"/>
  <c r="A616" i="1"/>
  <c r="D615" i="1"/>
  <c r="H614" i="1"/>
  <c r="D614" i="1"/>
  <c r="H613" i="1"/>
  <c r="D613" i="1"/>
  <c r="G612" i="1"/>
  <c r="A612" i="1"/>
  <c r="C611" i="1"/>
  <c r="E610" i="1"/>
  <c r="H609" i="1"/>
  <c r="A609" i="1"/>
  <c r="E608" i="1"/>
  <c r="H607" i="1"/>
  <c r="C607" i="1"/>
  <c r="A606" i="1"/>
  <c r="C604" i="1"/>
  <c r="C603" i="1"/>
  <c r="G602" i="1"/>
  <c r="B601" i="1"/>
  <c r="E600" i="1"/>
  <c r="H599" i="1"/>
  <c r="D599" i="1"/>
  <c r="H598" i="1"/>
  <c r="G597" i="1"/>
  <c r="E596" i="1"/>
  <c r="F595" i="1"/>
  <c r="H594" i="1"/>
  <c r="C594" i="1"/>
  <c r="D592" i="1"/>
  <c r="G591" i="1"/>
  <c r="A591" i="1"/>
  <c r="C590" i="1"/>
  <c r="E589" i="1"/>
  <c r="B589" i="1"/>
  <c r="E588" i="1"/>
  <c r="F587" i="1"/>
  <c r="A587" i="1"/>
  <c r="C586" i="1"/>
  <c r="C584" i="1"/>
  <c r="B583" i="1"/>
  <c r="A582" i="1"/>
  <c r="C581" i="1"/>
  <c r="E579" i="1"/>
  <c r="D578" i="1"/>
  <c r="H577" i="1"/>
  <c r="C577" i="1"/>
  <c r="B576" i="1"/>
  <c r="A575" i="1"/>
  <c r="B574" i="1"/>
  <c r="D573" i="1"/>
  <c r="D571" i="1"/>
  <c r="D570" i="1"/>
  <c r="G569" i="1"/>
  <c r="A568" i="1"/>
  <c r="A567" i="1"/>
  <c r="H565" i="1"/>
  <c r="F564" i="1"/>
  <c r="F563" i="1"/>
  <c r="C563" i="1"/>
  <c r="C562" i="1"/>
  <c r="E561" i="1"/>
  <c r="A561" i="1"/>
  <c r="E560" i="1"/>
  <c r="C559" i="1"/>
  <c r="G558" i="1"/>
  <c r="B558" i="1"/>
  <c r="F557" i="1"/>
  <c r="F556" i="1"/>
  <c r="A556" i="1"/>
  <c r="H553" i="1"/>
  <c r="E552" i="1"/>
  <c r="E550" i="1"/>
  <c r="H547" i="1"/>
  <c r="F545" i="1"/>
  <c r="E544" i="1"/>
  <c r="H541" i="1"/>
  <c r="G540" i="1"/>
  <c r="E539" i="1"/>
  <c r="C537" i="1"/>
  <c r="E535" i="1"/>
  <c r="G533" i="1"/>
  <c r="B532" i="1"/>
  <c r="D530" i="1"/>
  <c r="A529" i="1"/>
  <c r="F527" i="1"/>
  <c r="C525" i="1"/>
  <c r="H523" i="1"/>
  <c r="E521" i="1"/>
  <c r="E520" i="1"/>
  <c r="B374" i="1"/>
  <c r="G373" i="1"/>
  <c r="C373" i="1"/>
  <c r="G372" i="1"/>
  <c r="C372" i="1"/>
  <c r="H371" i="1"/>
  <c r="B371" i="1"/>
  <c r="F370" i="1"/>
  <c r="C370" i="1"/>
  <c r="G369" i="1"/>
  <c r="F368" i="1"/>
  <c r="E367" i="1"/>
  <c r="C367" i="1"/>
  <c r="G366" i="1"/>
  <c r="D366" i="1"/>
  <c r="G365" i="1"/>
  <c r="F364" i="1"/>
  <c r="A960" i="1"/>
  <c r="H958" i="1"/>
  <c r="G957" i="1"/>
  <c r="F956" i="1"/>
  <c r="E955" i="1"/>
  <c r="A954" i="1"/>
  <c r="G952" i="1"/>
  <c r="F951" i="1"/>
  <c r="C950" i="1"/>
  <c r="H948" i="1"/>
  <c r="G947" i="1"/>
  <c r="F946" i="1"/>
  <c r="E945" i="1"/>
  <c r="D944" i="1"/>
  <c r="C943" i="1"/>
  <c r="B942" i="1"/>
  <c r="A941" i="1"/>
  <c r="E940" i="1"/>
  <c r="A940" i="1"/>
  <c r="H938" i="1"/>
  <c r="A938" i="1"/>
  <c r="E937" i="1"/>
  <c r="F936" i="1"/>
  <c r="F959" i="1"/>
  <c r="E958" i="1"/>
  <c r="D957" i="1"/>
  <c r="A956" i="1"/>
  <c r="H954" i="1"/>
  <c r="F953" i="1"/>
  <c r="D952" i="1"/>
  <c r="C951" i="1"/>
  <c r="B950" i="1"/>
  <c r="B949" i="1"/>
  <c r="A948" i="1"/>
  <c r="G946" i="1"/>
  <c r="F945" i="1"/>
  <c r="E944" i="1"/>
  <c r="D943" i="1"/>
  <c r="C942" i="1"/>
  <c r="B941" i="1"/>
  <c r="D940" i="1"/>
  <c r="G939" i="1"/>
  <c r="A939" i="1"/>
  <c r="B938" i="1"/>
  <c r="D937" i="1"/>
  <c r="H936" i="1"/>
  <c r="D959" i="1"/>
  <c r="C958" i="1"/>
  <c r="B957" i="1"/>
  <c r="C956" i="1"/>
  <c r="B955" i="1"/>
  <c r="C954" i="1"/>
  <c r="B953" i="1"/>
  <c r="A952" i="1"/>
  <c r="H950" i="1"/>
  <c r="G949" i="1"/>
  <c r="F948" i="1"/>
  <c r="E947" i="1"/>
  <c r="C946" i="1"/>
  <c r="B945" i="1"/>
  <c r="A944" i="1"/>
  <c r="H942" i="1"/>
  <c r="G941" i="1"/>
  <c r="D938" i="1"/>
  <c r="F935" i="1"/>
  <c r="A935" i="1"/>
  <c r="C934" i="1"/>
  <c r="F933" i="1"/>
  <c r="G932" i="1"/>
  <c r="G931" i="1"/>
  <c r="A931" i="1"/>
  <c r="C930" i="1"/>
  <c r="D929" i="1"/>
  <c r="G928" i="1"/>
  <c r="H927" i="1"/>
  <c r="H926" i="1"/>
  <c r="C926" i="1"/>
  <c r="D925" i="1"/>
  <c r="F924" i="1"/>
  <c r="A924" i="1"/>
  <c r="C923" i="1"/>
  <c r="E922" i="1"/>
  <c r="G921" i="1"/>
  <c r="A921" i="1"/>
  <c r="C920" i="1"/>
  <c r="E919" i="1"/>
  <c r="G918" i="1"/>
  <c r="A918" i="1"/>
  <c r="C917" i="1"/>
  <c r="E916" i="1"/>
  <c r="G915" i="1"/>
  <c r="A915" i="1"/>
  <c r="D914" i="1"/>
  <c r="E913" i="1"/>
  <c r="E912" i="1"/>
  <c r="F911" i="1"/>
  <c r="A911" i="1"/>
  <c r="A910" i="1"/>
  <c r="C909" i="1"/>
  <c r="D908" i="1"/>
  <c r="G907" i="1"/>
  <c r="H906" i="1"/>
  <c r="F905" i="1"/>
  <c r="H904" i="1"/>
  <c r="B904" i="1"/>
  <c r="F903" i="1"/>
  <c r="G902" i="1"/>
  <c r="A902" i="1"/>
  <c r="D900" i="1"/>
  <c r="E898" i="1"/>
  <c r="G895" i="1"/>
  <c r="E893" i="1"/>
  <c r="F891" i="1"/>
  <c r="H889" i="1"/>
  <c r="B887" i="1"/>
  <c r="E884" i="1"/>
  <c r="H881" i="1"/>
  <c r="H878" i="1"/>
  <c r="C876" i="1"/>
  <c r="C874" i="1"/>
  <c r="B871" i="1"/>
  <c r="A869" i="1"/>
  <c r="F866" i="1"/>
  <c r="A862" i="1"/>
  <c r="B859" i="1"/>
  <c r="C858" i="1"/>
  <c r="E857" i="1"/>
  <c r="D856" i="1"/>
  <c r="A856" i="1"/>
  <c r="B855" i="1"/>
  <c r="D854" i="1"/>
  <c r="F853" i="1"/>
  <c r="H852" i="1"/>
  <c r="B852" i="1"/>
  <c r="F850" i="1"/>
  <c r="F849" i="1"/>
  <c r="H848" i="1"/>
  <c r="H847" i="1"/>
  <c r="H846" i="1"/>
  <c r="F845" i="1"/>
  <c r="C845" i="1"/>
  <c r="C844" i="1"/>
  <c r="C843" i="1"/>
  <c r="D842" i="1"/>
  <c r="E841" i="1"/>
  <c r="G840" i="1"/>
  <c r="A840" i="1"/>
  <c r="C839" i="1"/>
  <c r="E838" i="1"/>
  <c r="G837" i="1"/>
  <c r="F836" i="1"/>
  <c r="A836" i="1"/>
  <c r="F834" i="1"/>
  <c r="H833" i="1"/>
  <c r="A833" i="1"/>
  <c r="E832" i="1"/>
  <c r="F831" i="1"/>
  <c r="F830" i="1"/>
  <c r="G829" i="1"/>
  <c r="H828" i="1"/>
  <c r="H827" i="1"/>
  <c r="B827" i="1"/>
  <c r="B826" i="1"/>
  <c r="D825" i="1"/>
  <c r="E824" i="1"/>
  <c r="A824" i="1"/>
  <c r="D823" i="1"/>
  <c r="E822" i="1"/>
  <c r="B822" i="1"/>
  <c r="G820" i="1"/>
  <c r="D820" i="1"/>
  <c r="D819" i="1"/>
  <c r="D818" i="1"/>
  <c r="E817" i="1"/>
  <c r="G816" i="1"/>
  <c r="A816" i="1"/>
  <c r="B815" i="1"/>
  <c r="G813" i="1"/>
  <c r="G812" i="1"/>
  <c r="A812" i="1"/>
  <c r="A811" i="1"/>
  <c r="C810" i="1"/>
  <c r="C809" i="1"/>
  <c r="C808" i="1"/>
  <c r="E807" i="1"/>
  <c r="G806" i="1"/>
  <c r="F805" i="1"/>
  <c r="A804" i="1"/>
  <c r="B803" i="1"/>
  <c r="A802" i="1"/>
  <c r="H799" i="1"/>
  <c r="G797" i="1"/>
  <c r="H795" i="1"/>
  <c r="D793" i="1"/>
  <c r="D791" i="1"/>
  <c r="G790" i="1"/>
  <c r="A787" i="1"/>
  <c r="F785" i="1"/>
  <c r="H783" i="1"/>
  <c r="H781" i="1"/>
  <c r="E779" i="1"/>
  <c r="C777" i="1"/>
  <c r="B775" i="1"/>
  <c r="F772" i="1"/>
  <c r="G770" i="1"/>
  <c r="G768" i="1"/>
  <c r="F686" i="1"/>
  <c r="C684" i="1"/>
  <c r="F681" i="1"/>
  <c r="F679" i="1"/>
  <c r="D677" i="1"/>
  <c r="A675" i="1"/>
  <c r="C673" i="1"/>
  <c r="B672" i="1"/>
  <c r="D670" i="1"/>
  <c r="H666" i="1"/>
  <c r="D665" i="1"/>
  <c r="B662" i="1"/>
  <c r="G660" i="1"/>
  <c r="A658" i="1"/>
  <c r="D654" i="1"/>
  <c r="C653" i="1"/>
  <c r="B652" i="1"/>
  <c r="D650" i="1"/>
  <c r="G647" i="1"/>
  <c r="C646" i="1"/>
  <c r="D643" i="1"/>
  <c r="A641" i="1"/>
  <c r="G638" i="1"/>
  <c r="C637" i="1"/>
  <c r="C635" i="1"/>
  <c r="E633" i="1"/>
  <c r="G631" i="1"/>
  <c r="C630" i="1"/>
  <c r="G628" i="1"/>
  <c r="B626" i="1"/>
  <c r="F624" i="1"/>
  <c r="F622" i="1"/>
  <c r="F620" i="1"/>
  <c r="A619" i="1"/>
  <c r="C616" i="1"/>
  <c r="G614" i="1"/>
  <c r="E613" i="1"/>
  <c r="D612" i="1"/>
  <c r="B610" i="1"/>
  <c r="G608" i="1"/>
  <c r="D607" i="1"/>
  <c r="B604" i="1"/>
  <c r="E602" i="1"/>
  <c r="E599" i="1"/>
  <c r="C597" i="1"/>
  <c r="D595" i="1"/>
  <c r="B592" i="1"/>
  <c r="G589" i="1"/>
  <c r="C588" i="1"/>
  <c r="G585" i="1"/>
  <c r="C582" i="1"/>
  <c r="B580" i="1"/>
  <c r="C578" i="1"/>
  <c r="H576" i="1"/>
  <c r="D575" i="1"/>
  <c r="E573" i="1"/>
  <c r="C571" i="1"/>
  <c r="F568" i="1"/>
  <c r="E566" i="1"/>
  <c r="G564" i="1"/>
  <c r="D562" i="1"/>
  <c r="H559" i="1"/>
  <c r="E558" i="1"/>
  <c r="B557" i="1"/>
  <c r="F554" i="1"/>
  <c r="F553" i="1"/>
  <c r="F551" i="1"/>
  <c r="G549" i="1"/>
  <c r="B549" i="1"/>
  <c r="D546" i="1"/>
  <c r="F544" i="1"/>
  <c r="E542" i="1"/>
  <c r="F539" i="1"/>
  <c r="D532" i="1"/>
  <c r="B529" i="1"/>
  <c r="E526" i="1"/>
  <c r="H524" i="1"/>
  <c r="B523" i="1"/>
  <c r="D521" i="1"/>
  <c r="F519" i="1"/>
  <c r="D517" i="1"/>
  <c r="F515" i="1"/>
  <c r="H399" i="1"/>
  <c r="F398" i="1"/>
  <c r="B394" i="1"/>
  <c r="G391" i="1"/>
  <c r="H390" i="1"/>
  <c r="D388" i="1"/>
  <c r="H386" i="1"/>
  <c r="D385" i="1"/>
  <c r="E383" i="1"/>
  <c r="B382" i="1"/>
  <c r="B380" i="1"/>
  <c r="C377" i="1"/>
  <c r="G375" i="1"/>
  <c r="E374" i="1"/>
  <c r="F373" i="1"/>
  <c r="D371" i="1"/>
  <c r="D370" i="1"/>
  <c r="E369" i="1"/>
  <c r="B368" i="1"/>
  <c r="H366" i="1"/>
  <c r="B365" i="1"/>
  <c r="G361" i="1"/>
  <c r="A361" i="1"/>
  <c r="F359" i="1"/>
  <c r="A358" i="1"/>
  <c r="B357" i="1"/>
  <c r="A355" i="1"/>
  <c r="A354" i="1"/>
  <c r="G352" i="1"/>
  <c r="C351" i="1"/>
  <c r="H350" i="1"/>
  <c r="C349" i="1"/>
  <c r="D348" i="1"/>
  <c r="C347" i="1"/>
  <c r="F345" i="1"/>
  <c r="G344" i="1"/>
  <c r="A344" i="1"/>
  <c r="H341" i="1"/>
  <c r="A340" i="1"/>
  <c r="B339" i="1"/>
  <c r="B336" i="1"/>
  <c r="E334" i="1"/>
  <c r="H332" i="1"/>
  <c r="D331" i="1"/>
  <c r="C330" i="1"/>
  <c r="B329" i="1"/>
  <c r="F327" i="1"/>
  <c r="A325" i="1"/>
  <c r="H323" i="1"/>
  <c r="C322" i="1"/>
  <c r="H320" i="1"/>
  <c r="G319" i="1"/>
  <c r="D318" i="1"/>
  <c r="C317" i="1"/>
  <c r="D315" i="1"/>
  <c r="B314" i="1"/>
  <c r="E312" i="1"/>
  <c r="B311" i="1"/>
  <c r="G308" i="1"/>
  <c r="C308" i="1"/>
  <c r="G306" i="1"/>
  <c r="A306" i="1"/>
  <c r="A303" i="1"/>
  <c r="A302" i="1"/>
  <c r="A301" i="1"/>
  <c r="H299" i="1"/>
  <c r="A298" i="1"/>
  <c r="B296" i="1"/>
  <c r="C295" i="1"/>
  <c r="D293" i="1"/>
  <c r="H291" i="1"/>
  <c r="H290" i="1"/>
  <c r="D289" i="1"/>
  <c r="A288" i="1"/>
  <c r="C286" i="1"/>
  <c r="D285" i="1"/>
  <c r="F283" i="1"/>
  <c r="C282" i="1"/>
  <c r="H280" i="1"/>
  <c r="G279" i="1"/>
  <c r="E278" i="1"/>
  <c r="F277" i="1"/>
  <c r="G276" i="1"/>
  <c r="A275" i="1"/>
  <c r="A273" i="1"/>
  <c r="G271" i="1"/>
  <c r="G270" i="1"/>
  <c r="H267" i="1"/>
  <c r="H265" i="1"/>
  <c r="A264" i="1"/>
  <c r="H262" i="1"/>
  <c r="F75" i="1"/>
  <c r="E74" i="1"/>
  <c r="A73" i="1"/>
  <c r="C71" i="1"/>
  <c r="D69" i="1"/>
  <c r="E68" i="1"/>
  <c r="B67" i="1"/>
  <c r="B66" i="1"/>
  <c r="B65" i="1"/>
  <c r="A64" i="1"/>
  <c r="B63" i="1"/>
  <c r="C62" i="1"/>
  <c r="A60" i="1"/>
  <c r="E58" i="1"/>
  <c r="E57" i="1"/>
  <c r="C57" i="1"/>
  <c r="D56" i="1"/>
  <c r="E55" i="1"/>
  <c r="A54" i="1"/>
  <c r="H52" i="1"/>
  <c r="H50" i="1"/>
  <c r="D50" i="1"/>
  <c r="A49" i="1"/>
  <c r="E47" i="1"/>
  <c r="B47" i="1"/>
  <c r="H45" i="1"/>
  <c r="H44" i="1"/>
  <c r="B44" i="1"/>
  <c r="B41" i="1"/>
  <c r="H39" i="1"/>
  <c r="H37" i="1"/>
  <c r="B37" i="1"/>
  <c r="C35" i="1"/>
  <c r="D34" i="1"/>
  <c r="G32" i="1"/>
  <c r="B32" i="1"/>
  <c r="C30" i="1"/>
  <c r="G28" i="1"/>
  <c r="D27" i="1"/>
  <c r="E24" i="1"/>
  <c r="C23" i="1"/>
  <c r="E21" i="1"/>
  <c r="G19" i="1"/>
  <c r="H18" i="1"/>
  <c r="G17" i="1"/>
  <c r="H16" i="1"/>
  <c r="E15" i="1"/>
  <c r="B15" i="1"/>
  <c r="E13" i="1"/>
  <c r="E12" i="1"/>
  <c r="E11" i="1"/>
  <c r="F10" i="1"/>
  <c r="H767" i="1"/>
  <c r="F767" i="1"/>
  <c r="D767" i="1"/>
  <c r="B767" i="1"/>
  <c r="G766" i="1"/>
  <c r="F766" i="1"/>
  <c r="D766" i="1"/>
  <c r="B766" i="1"/>
  <c r="H765" i="1"/>
  <c r="F765" i="1"/>
  <c r="D765" i="1"/>
  <c r="B765" i="1"/>
  <c r="G764" i="1"/>
  <c r="E764" i="1"/>
  <c r="C764" i="1"/>
  <c r="A764" i="1"/>
  <c r="G763" i="1"/>
  <c r="E763" i="1"/>
  <c r="C763" i="1"/>
  <c r="A763" i="1"/>
  <c r="G762" i="1"/>
  <c r="D762" i="1"/>
  <c r="B762" i="1"/>
  <c r="H761" i="1"/>
  <c r="F761" i="1"/>
  <c r="D761" i="1"/>
  <c r="B761" i="1"/>
  <c r="H760" i="1"/>
  <c r="F760" i="1"/>
  <c r="D760" i="1"/>
  <c r="B760" i="1"/>
  <c r="H759" i="1"/>
  <c r="F759" i="1"/>
  <c r="D759" i="1"/>
  <c r="B759" i="1"/>
  <c r="H758" i="1"/>
  <c r="F758" i="1"/>
  <c r="D758" i="1"/>
  <c r="C758" i="1"/>
  <c r="A758" i="1"/>
  <c r="F757" i="1"/>
  <c r="D757" i="1"/>
  <c r="B757" i="1"/>
  <c r="A757" i="1"/>
  <c r="G756" i="1"/>
  <c r="E756" i="1"/>
  <c r="G755" i="1"/>
  <c r="D755" i="1"/>
  <c r="A755" i="1"/>
  <c r="G754" i="1"/>
  <c r="E754" i="1"/>
  <c r="C754" i="1"/>
  <c r="A754" i="1"/>
  <c r="G753" i="1"/>
  <c r="E753" i="1"/>
  <c r="C753" i="1"/>
  <c r="H752" i="1"/>
  <c r="G752" i="1"/>
  <c r="E752" i="1"/>
  <c r="C752" i="1"/>
  <c r="A752" i="1"/>
  <c r="G751" i="1"/>
  <c r="E751" i="1"/>
  <c r="C751" i="1"/>
  <c r="A751" i="1"/>
  <c r="G750" i="1"/>
  <c r="E750" i="1"/>
  <c r="B750" i="1"/>
  <c r="A750" i="1"/>
  <c r="G749" i="1"/>
  <c r="E749" i="1"/>
  <c r="C749" i="1"/>
  <c r="A749" i="1"/>
  <c r="G748" i="1"/>
  <c r="E748" i="1"/>
  <c r="C748" i="1"/>
  <c r="A748" i="1"/>
  <c r="G747" i="1"/>
  <c r="E747" i="1"/>
  <c r="B747" i="1"/>
  <c r="H746" i="1"/>
  <c r="F746" i="1"/>
  <c r="D746" i="1"/>
  <c r="B746" i="1"/>
  <c r="G745" i="1"/>
  <c r="E745" i="1"/>
  <c r="C745" i="1"/>
  <c r="A745" i="1"/>
  <c r="F744" i="1"/>
  <c r="D744" i="1"/>
  <c r="B744" i="1"/>
  <c r="H743" i="1"/>
  <c r="G743" i="1"/>
  <c r="E743" i="1"/>
  <c r="C743" i="1"/>
  <c r="A743" i="1"/>
  <c r="G742" i="1"/>
  <c r="E742" i="1"/>
  <c r="C742" i="1"/>
  <c r="B742" i="1"/>
  <c r="G741" i="1"/>
  <c r="E741" i="1"/>
  <c r="D741" i="1"/>
  <c r="A741" i="1"/>
  <c r="G740" i="1"/>
  <c r="E740" i="1"/>
  <c r="D740" i="1"/>
  <c r="A740" i="1"/>
  <c r="G739" i="1"/>
  <c r="E739" i="1"/>
  <c r="D739" i="1"/>
  <c r="B739" i="1"/>
  <c r="H738" i="1"/>
  <c r="F738" i="1"/>
  <c r="C738" i="1"/>
  <c r="A738" i="1"/>
  <c r="G737" i="1"/>
  <c r="E737" i="1"/>
  <c r="C737" i="1"/>
  <c r="A737" i="1"/>
  <c r="G736" i="1"/>
  <c r="E736" i="1"/>
  <c r="C736" i="1"/>
  <c r="A736" i="1"/>
  <c r="G735" i="1"/>
  <c r="E735" i="1"/>
  <c r="C735" i="1"/>
  <c r="A735" i="1"/>
  <c r="G734" i="1"/>
  <c r="E734" i="1"/>
  <c r="C734" i="1"/>
  <c r="A734" i="1"/>
  <c r="G733" i="1"/>
  <c r="E733" i="1"/>
  <c r="C733" i="1"/>
  <c r="A733" i="1"/>
  <c r="G732" i="1"/>
  <c r="E732" i="1"/>
  <c r="C732" i="1"/>
  <c r="A732" i="1"/>
  <c r="G731" i="1"/>
  <c r="F731" i="1"/>
  <c r="C731" i="1"/>
  <c r="A731" i="1"/>
  <c r="G730" i="1"/>
  <c r="E730" i="1"/>
  <c r="C730" i="1"/>
  <c r="A730" i="1"/>
  <c r="G729" i="1"/>
  <c r="E729" i="1"/>
  <c r="C729" i="1"/>
  <c r="A729" i="1"/>
  <c r="G728" i="1"/>
  <c r="E728" i="1"/>
  <c r="C728" i="1"/>
  <c r="A728" i="1"/>
  <c r="G727" i="1"/>
  <c r="E727" i="1"/>
  <c r="C727" i="1"/>
  <c r="A727" i="1"/>
  <c r="G726" i="1"/>
  <c r="F726" i="1"/>
  <c r="D726" i="1"/>
  <c r="A726" i="1"/>
  <c r="G725" i="1"/>
  <c r="E725" i="1"/>
  <c r="C725" i="1"/>
  <c r="A725" i="1"/>
  <c r="G724" i="1"/>
  <c r="E724" i="1"/>
  <c r="C724" i="1"/>
  <c r="A724" i="1"/>
  <c r="G723" i="1"/>
  <c r="E723" i="1"/>
  <c r="C723" i="1"/>
  <c r="A723" i="1"/>
  <c r="G722" i="1"/>
  <c r="E722" i="1"/>
  <c r="C722" i="1"/>
  <c r="A722" i="1"/>
  <c r="G721" i="1"/>
  <c r="E721" i="1"/>
  <c r="C721" i="1"/>
  <c r="A721" i="1"/>
  <c r="G720" i="1"/>
  <c r="F720" i="1"/>
  <c r="D720" i="1"/>
  <c r="C720" i="1"/>
  <c r="H719" i="1"/>
  <c r="F719" i="1"/>
  <c r="D719" i="1"/>
  <c r="B719" i="1"/>
  <c r="H718" i="1"/>
  <c r="E718" i="1"/>
  <c r="C718" i="1"/>
  <c r="A718" i="1"/>
  <c r="G717" i="1"/>
  <c r="E717" i="1"/>
  <c r="C717" i="1"/>
  <c r="A717" i="1"/>
  <c r="G716" i="1"/>
  <c r="E716" i="1"/>
  <c r="C716" i="1"/>
  <c r="A716" i="1"/>
  <c r="H715" i="1"/>
  <c r="E715" i="1"/>
  <c r="D715" i="1"/>
  <c r="B715" i="1"/>
  <c r="H714" i="1"/>
  <c r="F714" i="1"/>
  <c r="D714" i="1"/>
  <c r="B714" i="1"/>
  <c r="H713" i="1"/>
  <c r="F713" i="1"/>
  <c r="D713" i="1"/>
  <c r="A713" i="1"/>
  <c r="G712" i="1"/>
  <c r="F712" i="1"/>
  <c r="C712" i="1"/>
  <c r="A712" i="1"/>
  <c r="G711" i="1"/>
  <c r="E711" i="1"/>
  <c r="C711" i="1"/>
  <c r="A711" i="1"/>
  <c r="G710" i="1"/>
  <c r="E710" i="1"/>
  <c r="C710" i="1"/>
  <c r="B710" i="1"/>
  <c r="G709" i="1"/>
  <c r="F709" i="1"/>
  <c r="D709" i="1"/>
  <c r="B709" i="1"/>
  <c r="H708" i="1"/>
  <c r="F708" i="1"/>
  <c r="D708" i="1"/>
  <c r="B708" i="1"/>
  <c r="H707" i="1"/>
  <c r="G707" i="1"/>
  <c r="D707" i="1"/>
  <c r="B707" i="1"/>
  <c r="H706" i="1"/>
  <c r="F706" i="1"/>
  <c r="D706" i="1"/>
  <c r="B706" i="1"/>
  <c r="H705" i="1"/>
  <c r="F705" i="1"/>
  <c r="D705" i="1"/>
  <c r="B705" i="1"/>
  <c r="H704" i="1"/>
  <c r="F704" i="1"/>
  <c r="D704" i="1"/>
  <c r="B704" i="1"/>
  <c r="H703" i="1"/>
  <c r="F703" i="1"/>
  <c r="E703" i="1"/>
  <c r="C703" i="1"/>
  <c r="H702" i="1"/>
  <c r="F702" i="1"/>
  <c r="D702" i="1"/>
  <c r="C702" i="1"/>
  <c r="A702" i="1"/>
  <c r="F701" i="1"/>
  <c r="E701" i="1"/>
  <c r="C701" i="1"/>
  <c r="A701" i="1"/>
  <c r="G700" i="1"/>
  <c r="E700" i="1"/>
  <c r="C700" i="1"/>
  <c r="A700" i="1"/>
  <c r="G699" i="1"/>
  <c r="E699" i="1"/>
  <c r="C699" i="1"/>
  <c r="A699" i="1"/>
  <c r="G698" i="1"/>
  <c r="E698" i="1"/>
  <c r="C698" i="1"/>
  <c r="A698" i="1"/>
  <c r="G697" i="1"/>
  <c r="E697" i="1"/>
  <c r="C697" i="1"/>
  <c r="A697" i="1"/>
  <c r="G696" i="1"/>
  <c r="D696" i="1"/>
  <c r="B696" i="1"/>
  <c r="A696" i="1"/>
  <c r="F695" i="1"/>
  <c r="E695" i="1"/>
  <c r="B695" i="1"/>
  <c r="H694" i="1"/>
  <c r="F694" i="1"/>
  <c r="D694" i="1"/>
  <c r="B694" i="1"/>
  <c r="H693" i="1"/>
  <c r="F693" i="1"/>
  <c r="D693" i="1"/>
  <c r="B693" i="1"/>
  <c r="H692" i="1"/>
  <c r="F692" i="1"/>
  <c r="D692" i="1"/>
  <c r="B692" i="1"/>
  <c r="H691" i="1"/>
  <c r="F691" i="1"/>
  <c r="D691" i="1"/>
  <c r="B691" i="1"/>
  <c r="H690" i="1"/>
  <c r="F690" i="1"/>
  <c r="D690" i="1"/>
  <c r="B690" i="1"/>
  <c r="H689" i="1"/>
  <c r="F689" i="1"/>
  <c r="C689" i="1"/>
  <c r="A689" i="1"/>
  <c r="G688" i="1"/>
  <c r="E688" i="1"/>
  <c r="B688" i="1"/>
  <c r="H687" i="1"/>
  <c r="F687" i="1"/>
  <c r="C687" i="1"/>
  <c r="C685" i="1"/>
  <c r="H682" i="1"/>
  <c r="F680" i="1"/>
  <c r="A679" i="1"/>
  <c r="G676" i="1"/>
  <c r="F675" i="1"/>
  <c r="B671" i="1"/>
  <c r="G668" i="1"/>
  <c r="G665" i="1"/>
  <c r="F662" i="1"/>
  <c r="A661" i="1"/>
  <c r="E657" i="1"/>
  <c r="E655" i="1"/>
  <c r="E653" i="1"/>
  <c r="C649" i="1"/>
  <c r="F646" i="1"/>
  <c r="H644" i="1"/>
  <c r="H641" i="1"/>
  <c r="H640" i="1"/>
  <c r="B628" i="1"/>
  <c r="H624" i="1"/>
  <c r="E622" i="1"/>
  <c r="G620" i="1"/>
  <c r="G618" i="1"/>
  <c r="H617" i="1"/>
  <c r="G610" i="1"/>
  <c r="A608" i="1"/>
  <c r="H606" i="1"/>
  <c r="E603" i="1"/>
  <c r="G600" i="1"/>
  <c r="F597" i="1"/>
  <c r="F596" i="1"/>
  <c r="G595" i="1"/>
  <c r="A595" i="1"/>
  <c r="H593" i="1"/>
  <c r="A593" i="1"/>
  <c r="D591" i="1"/>
  <c r="B590" i="1"/>
  <c r="H588" i="1"/>
  <c r="A588" i="1"/>
  <c r="C587" i="1"/>
  <c r="D586" i="1"/>
  <c r="E585" i="1"/>
  <c r="G583" i="1"/>
  <c r="G582" i="1"/>
  <c r="G581" i="1"/>
  <c r="E580" i="1"/>
  <c r="D579" i="1"/>
  <c r="B578" i="1"/>
  <c r="F576" i="1"/>
  <c r="E574" i="1"/>
  <c r="H572" i="1"/>
  <c r="C572" i="1"/>
  <c r="G571" i="1"/>
  <c r="F570" i="1"/>
  <c r="E569" i="1"/>
  <c r="E568" i="1"/>
  <c r="C567" i="1"/>
  <c r="B566" i="1"/>
  <c r="C565" i="1"/>
  <c r="E563" i="1"/>
  <c r="G562" i="1"/>
  <c r="E559" i="1"/>
  <c r="F558" i="1"/>
  <c r="D557" i="1"/>
  <c r="D556" i="1"/>
  <c r="A555" i="1"/>
  <c r="B553" i="1"/>
  <c r="D552" i="1"/>
  <c r="D550" i="1"/>
  <c r="C548" i="1"/>
  <c r="D547" i="1"/>
  <c r="G959" i="1"/>
  <c r="F958" i="1"/>
  <c r="E957" i="1"/>
  <c r="D956" i="1"/>
  <c r="C955" i="1"/>
  <c r="H953" i="1"/>
  <c r="F952" i="1"/>
  <c r="D951" i="1"/>
  <c r="D950" i="1"/>
  <c r="G948" i="1"/>
  <c r="F947" i="1"/>
  <c r="E946" i="1"/>
  <c r="D945" i="1"/>
  <c r="C944" i="1"/>
  <c r="B943" i="1"/>
  <c r="A942" i="1"/>
  <c r="H940" i="1"/>
  <c r="C940" i="1"/>
  <c r="F939" i="1"/>
  <c r="F938" i="1"/>
  <c r="C938" i="1"/>
  <c r="F937" i="1"/>
  <c r="A937" i="1"/>
  <c r="G936" i="1"/>
  <c r="C936" i="1"/>
  <c r="E934" i="1"/>
  <c r="E933" i="1"/>
  <c r="A933" i="1"/>
  <c r="A932" i="1"/>
  <c r="C931" i="1"/>
  <c r="E930" i="1"/>
  <c r="G929" i="1"/>
  <c r="A929" i="1"/>
  <c r="C928" i="1"/>
  <c r="E927" i="1"/>
  <c r="G926" i="1"/>
  <c r="A926" i="1"/>
  <c r="C925" i="1"/>
  <c r="E924" i="1"/>
  <c r="H923" i="1"/>
  <c r="A923" i="1"/>
  <c r="A922" i="1"/>
  <c r="D921" i="1"/>
  <c r="E920" i="1"/>
  <c r="B920" i="1"/>
  <c r="D919" i="1"/>
  <c r="F918" i="1"/>
  <c r="H917" i="1"/>
  <c r="B917" i="1"/>
  <c r="D916" i="1"/>
  <c r="F915" i="1"/>
  <c r="H914" i="1"/>
  <c r="B914" i="1"/>
  <c r="B913" i="1"/>
  <c r="F912" i="1"/>
  <c r="G911" i="1"/>
  <c r="G910" i="1"/>
  <c r="C910" i="1"/>
  <c r="E909" i="1"/>
  <c r="G908" i="1"/>
  <c r="A908" i="1"/>
  <c r="C907" i="1"/>
  <c r="E906" i="1"/>
  <c r="A906" i="1"/>
  <c r="A905" i="1"/>
  <c r="F904" i="1"/>
  <c r="H903" i="1"/>
  <c r="B903" i="1"/>
  <c r="D902" i="1"/>
  <c r="F901" i="1"/>
  <c r="D899" i="1"/>
  <c r="H897" i="1"/>
  <c r="H893" i="1"/>
  <c r="A892" i="1"/>
  <c r="C888" i="1"/>
  <c r="G886" i="1"/>
  <c r="A883" i="1"/>
  <c r="E880" i="1"/>
  <c r="F877" i="1"/>
  <c r="E875" i="1"/>
  <c r="H872" i="1"/>
  <c r="C870" i="1"/>
  <c r="D867" i="1"/>
  <c r="C865" i="1"/>
  <c r="E863" i="1"/>
  <c r="E859" i="1"/>
  <c r="F858" i="1"/>
  <c r="H857" i="1"/>
  <c r="A857" i="1"/>
  <c r="D855" i="1"/>
  <c r="G854" i="1"/>
  <c r="A854" i="1"/>
  <c r="C853" i="1"/>
  <c r="E852" i="1"/>
  <c r="G851" i="1"/>
  <c r="B851" i="1"/>
  <c r="A850" i="1"/>
  <c r="C849" i="1"/>
  <c r="E848" i="1"/>
  <c r="E847" i="1"/>
  <c r="E846" i="1"/>
  <c r="A846" i="1"/>
  <c r="G844" i="1"/>
  <c r="F843" i="1"/>
  <c r="F842" i="1"/>
  <c r="H841" i="1"/>
  <c r="B841" i="1"/>
  <c r="D840" i="1"/>
  <c r="F839" i="1"/>
  <c r="H838" i="1"/>
  <c r="B838" i="1"/>
  <c r="D837" i="1"/>
  <c r="A837" i="1"/>
  <c r="F835" i="1"/>
  <c r="A835" i="1"/>
  <c r="C834" i="1"/>
  <c r="E833" i="1"/>
  <c r="A832" i="1"/>
  <c r="B831" i="1"/>
  <c r="B830" i="1"/>
  <c r="D829" i="1"/>
  <c r="E828" i="1"/>
  <c r="E827" i="1"/>
  <c r="E826" i="1"/>
  <c r="G825" i="1"/>
  <c r="H824" i="1"/>
  <c r="C824" i="1"/>
  <c r="G823" i="1"/>
  <c r="B823" i="1"/>
  <c r="E821" i="1"/>
  <c r="B821" i="1"/>
  <c r="A820" i="1"/>
  <c r="A819" i="1"/>
  <c r="A818" i="1"/>
  <c r="C817" i="1"/>
  <c r="E816" i="1"/>
  <c r="G815" i="1"/>
  <c r="E814" i="1"/>
  <c r="C814" i="1"/>
  <c r="C813" i="1"/>
  <c r="C812" i="1"/>
  <c r="D811" i="1"/>
  <c r="F810" i="1"/>
  <c r="H809" i="1"/>
  <c r="H808" i="1"/>
  <c r="H807" i="1"/>
  <c r="B807" i="1"/>
  <c r="E283" i="1"/>
  <c r="F266" i="1"/>
  <c r="B54" i="1"/>
  <c r="A17" i="1"/>
  <c r="G795" i="1"/>
  <c r="G789" i="1"/>
  <c r="C782" i="1"/>
  <c r="G773" i="1"/>
  <c r="F768" i="1"/>
  <c r="H679" i="1"/>
  <c r="F674" i="1"/>
  <c r="H665" i="1"/>
  <c r="F657" i="1"/>
  <c r="E649" i="1"/>
  <c r="E642" i="1"/>
  <c r="F634" i="1"/>
  <c r="C628" i="1"/>
  <c r="F618" i="1"/>
  <c r="D611" i="1"/>
  <c r="G606" i="1"/>
  <c r="A602" i="1"/>
  <c r="H597" i="1"/>
  <c r="E592" i="1"/>
  <c r="F580" i="1"/>
  <c r="C570" i="1"/>
  <c r="F562" i="1"/>
  <c r="C551" i="1"/>
  <c r="H543" i="1"/>
  <c r="B539" i="1"/>
  <c r="B535" i="1"/>
  <c r="H530" i="1"/>
  <c r="H526" i="1"/>
  <c r="A522" i="1"/>
  <c r="G517" i="1"/>
  <c r="E397" i="1"/>
  <c r="C393" i="1"/>
  <c r="G387" i="1"/>
  <c r="G382" i="1"/>
  <c r="A379" i="1"/>
  <c r="A368" i="1"/>
  <c r="G360" i="1"/>
  <c r="D338" i="1"/>
  <c r="H333" i="1"/>
  <c r="E325" i="1"/>
  <c r="H321" i="1"/>
  <c r="B313" i="1"/>
  <c r="A806" i="1"/>
  <c r="F804" i="1"/>
  <c r="F803" i="1"/>
  <c r="G802" i="1"/>
  <c r="C801" i="1"/>
  <c r="E798" i="1"/>
  <c r="A797" i="1"/>
  <c r="E794" i="1"/>
  <c r="F792" i="1"/>
  <c r="A788" i="1"/>
  <c r="C786" i="1"/>
  <c r="G784" i="1"/>
  <c r="A783" i="1"/>
  <c r="D780" i="1"/>
  <c r="E778" i="1"/>
  <c r="B776" i="1"/>
  <c r="F773" i="1"/>
  <c r="E771" i="1"/>
  <c r="A770" i="1"/>
  <c r="D687" i="1"/>
  <c r="G685" i="1"/>
  <c r="C683" i="1"/>
  <c r="A681" i="1"/>
  <c r="D678" i="1"/>
  <c r="G675" i="1"/>
  <c r="H673" i="1"/>
  <c r="G672" i="1"/>
  <c r="D671" i="1"/>
  <c r="A669" i="1"/>
  <c r="C666" i="1"/>
  <c r="H663" i="1"/>
  <c r="E661" i="1"/>
  <c r="F659" i="1"/>
  <c r="H658" i="1"/>
  <c r="D655" i="1"/>
  <c r="G653" i="1"/>
  <c r="F652" i="1"/>
  <c r="E651" i="1"/>
  <c r="D648" i="1"/>
  <c r="A645" i="1"/>
  <c r="D642" i="1"/>
  <c r="A640" i="1"/>
  <c r="G637" i="1"/>
  <c r="D636" i="1"/>
  <c r="B634" i="1"/>
  <c r="E632" i="1"/>
  <c r="H630" i="1"/>
  <c r="F629" i="1"/>
  <c r="E627" i="1"/>
  <c r="F625" i="1"/>
  <c r="H623" i="1"/>
  <c r="F621" i="1"/>
  <c r="A620" i="1"/>
  <c r="C617" i="1"/>
  <c r="C615" i="1"/>
  <c r="C614" i="1"/>
  <c r="A613" i="1"/>
  <c r="F611" i="1"/>
  <c r="D609" i="1"/>
  <c r="B606" i="1"/>
  <c r="B605" i="1"/>
  <c r="D603" i="1"/>
  <c r="C600" i="1"/>
  <c r="B598" i="1"/>
  <c r="D596" i="1"/>
  <c r="A594" i="1"/>
  <c r="F590" i="1"/>
  <c r="G588" i="1"/>
  <c r="E586" i="1"/>
  <c r="E584" i="1"/>
  <c r="D581" i="1"/>
  <c r="A579" i="1"/>
  <c r="E577" i="1"/>
  <c r="A576" i="1"/>
  <c r="H574" i="1"/>
  <c r="D572" i="1"/>
  <c r="H570" i="1"/>
  <c r="A570" i="1"/>
  <c r="E567" i="1"/>
  <c r="D565" i="1"/>
  <c r="A564" i="1"/>
  <c r="B561" i="1"/>
  <c r="C560" i="1"/>
  <c r="B559" i="1"/>
  <c r="A558" i="1"/>
  <c r="G555" i="1"/>
  <c r="B554" i="1"/>
  <c r="C552" i="1"/>
  <c r="H550" i="1"/>
  <c r="G547" i="1"/>
  <c r="C547" i="1"/>
  <c r="C545" i="1"/>
  <c r="A544" i="1"/>
  <c r="G541" i="1"/>
  <c r="C533" i="1"/>
  <c r="A531" i="1"/>
  <c r="C527" i="1"/>
  <c r="E525" i="1"/>
  <c r="C524" i="1"/>
  <c r="D522" i="1"/>
  <c r="H520" i="1"/>
  <c r="F518" i="1"/>
  <c r="D516" i="1"/>
  <c r="C515" i="1"/>
  <c r="C399" i="1"/>
  <c r="H397" i="1"/>
  <c r="D393" i="1"/>
  <c r="D392" i="1"/>
  <c r="C391" i="1"/>
  <c r="C390" i="1"/>
  <c r="A388" i="1"/>
  <c r="A386" i="1"/>
  <c r="H384" i="1"/>
  <c r="A383" i="1"/>
  <c r="F380" i="1"/>
  <c r="B379" i="1"/>
  <c r="G376" i="1"/>
  <c r="A375" i="1"/>
  <c r="H372" i="1"/>
  <c r="A372" i="1"/>
  <c r="A371" i="1"/>
  <c r="A370" i="1"/>
  <c r="C369" i="1"/>
  <c r="C366" i="1"/>
  <c r="H363" i="1"/>
  <c r="E362" i="1"/>
  <c r="D361" i="1"/>
  <c r="H358" i="1"/>
  <c r="E357" i="1"/>
  <c r="F356" i="1"/>
  <c r="E355" i="1"/>
  <c r="F354" i="1"/>
  <c r="B353" i="1"/>
  <c r="F351" i="1"/>
  <c r="E350" i="1"/>
  <c r="H349" i="1"/>
  <c r="G348" i="1"/>
  <c r="A348" i="1"/>
  <c r="B346" i="1"/>
  <c r="C345" i="1"/>
  <c r="D344" i="1"/>
  <c r="F342" i="1"/>
  <c r="H340" i="1"/>
  <c r="E339" i="1"/>
  <c r="F336" i="1"/>
  <c r="G335" i="1"/>
  <c r="D333" i="1"/>
  <c r="A332" i="1"/>
  <c r="A331" i="1"/>
  <c r="G329" i="1"/>
  <c r="E328" i="1"/>
  <c r="G325" i="1"/>
  <c r="D323" i="1"/>
  <c r="F322" i="1"/>
  <c r="E321" i="1"/>
  <c r="D320" i="1"/>
  <c r="H318" i="1"/>
  <c r="F317" i="1"/>
  <c r="B316" i="1"/>
  <c r="H314" i="1"/>
  <c r="E313" i="1"/>
  <c r="B310" i="1"/>
  <c r="E309" i="1"/>
  <c r="F307" i="1"/>
  <c r="C307" i="1"/>
  <c r="D305" i="1"/>
  <c r="E304" i="1"/>
  <c r="H303" i="1"/>
  <c r="D302" i="1"/>
  <c r="F301" i="1"/>
  <c r="E300" i="1"/>
  <c r="E298" i="1"/>
  <c r="H296" i="1"/>
  <c r="G295" i="1"/>
  <c r="A294" i="1"/>
  <c r="C292" i="1"/>
  <c r="C291" i="1"/>
  <c r="B290" i="1"/>
  <c r="A289" i="1"/>
  <c r="E287" i="1"/>
  <c r="G285" i="1"/>
  <c r="G284" i="1"/>
  <c r="F282" i="1"/>
  <c r="D281" i="1"/>
  <c r="B280" i="1"/>
  <c r="D279" i="1"/>
  <c r="A278" i="1"/>
  <c r="C277" i="1"/>
  <c r="E275" i="1"/>
  <c r="D273" i="1"/>
  <c r="E272" i="1"/>
  <c r="D271" i="1"/>
  <c r="B269" i="1"/>
  <c r="A267" i="1"/>
  <c r="E266" i="1"/>
  <c r="E264" i="1"/>
  <c r="B261" i="1"/>
  <c r="B76" i="1"/>
  <c r="A75" i="1"/>
  <c r="H73" i="1"/>
  <c r="B72" i="1"/>
  <c r="B70" i="1"/>
  <c r="A69" i="1"/>
  <c r="H67" i="1"/>
  <c r="G66" i="1"/>
  <c r="F65" i="1"/>
  <c r="E64" i="1"/>
  <c r="E63" i="1"/>
  <c r="F62" i="1"/>
  <c r="C61" i="1"/>
  <c r="H60" i="1"/>
  <c r="E59" i="1"/>
  <c r="H57" i="1"/>
  <c r="H56" i="1"/>
  <c r="A56" i="1"/>
  <c r="G54" i="1"/>
  <c r="E53" i="1"/>
  <c r="G51" i="1"/>
  <c r="D51" i="1"/>
  <c r="E49" i="1"/>
  <c r="E48" i="1"/>
  <c r="B48" i="1"/>
  <c r="F46" i="1"/>
  <c r="E45" i="1"/>
  <c r="E44" i="1"/>
  <c r="F43" i="1"/>
  <c r="C43" i="1"/>
  <c r="E42" i="1"/>
  <c r="A42" i="1"/>
  <c r="E41" i="1"/>
  <c r="C40" i="1"/>
  <c r="C39" i="1"/>
  <c r="H35" i="1"/>
  <c r="A34" i="1"/>
  <c r="D33" i="1"/>
  <c r="D31" i="1"/>
  <c r="A31" i="1"/>
  <c r="H29" i="1"/>
  <c r="C28" i="1"/>
  <c r="E25" i="1"/>
  <c r="H23" i="1"/>
  <c r="A22" i="1"/>
  <c r="B21" i="1"/>
  <c r="C19" i="1"/>
  <c r="C18" i="1"/>
  <c r="D17" i="1"/>
  <c r="A16" i="1"/>
  <c r="F14" i="1"/>
  <c r="B14" i="1"/>
  <c r="A13" i="1"/>
  <c r="A12" i="1"/>
  <c r="B11" i="1"/>
  <c r="B10" i="1"/>
  <c r="A768" i="1"/>
  <c r="G767" i="1"/>
  <c r="E767" i="1"/>
  <c r="C767" i="1"/>
  <c r="A767" i="1"/>
  <c r="H766" i="1"/>
  <c r="E766" i="1"/>
  <c r="C766" i="1"/>
  <c r="A766" i="1"/>
  <c r="G765" i="1"/>
  <c r="E765" i="1"/>
  <c r="C765" i="1"/>
  <c r="A765" i="1"/>
  <c r="H764" i="1"/>
  <c r="F764" i="1"/>
  <c r="D764" i="1"/>
  <c r="B764" i="1"/>
  <c r="H763" i="1"/>
  <c r="F763" i="1"/>
  <c r="D763" i="1"/>
  <c r="B763" i="1"/>
  <c r="H762" i="1"/>
  <c r="F762" i="1"/>
  <c r="E762" i="1"/>
  <c r="C762" i="1"/>
  <c r="A762" i="1"/>
  <c r="G761" i="1"/>
  <c r="E761" i="1"/>
  <c r="C761" i="1"/>
  <c r="A761" i="1"/>
  <c r="G760" i="1"/>
  <c r="E760" i="1"/>
  <c r="C760" i="1"/>
  <c r="A760" i="1"/>
  <c r="G759" i="1"/>
  <c r="E759" i="1"/>
  <c r="C759" i="1"/>
  <c r="A759" i="1"/>
  <c r="G758" i="1"/>
  <c r="E758" i="1"/>
  <c r="B758" i="1"/>
  <c r="H757" i="1"/>
  <c r="G757" i="1"/>
  <c r="E757" i="1"/>
  <c r="C757" i="1"/>
  <c r="H756" i="1"/>
  <c r="F756" i="1"/>
  <c r="D756" i="1"/>
  <c r="C756" i="1"/>
  <c r="B756" i="1"/>
  <c r="A756" i="1"/>
  <c r="H755" i="1"/>
  <c r="F755" i="1"/>
  <c r="E755" i="1"/>
  <c r="C755" i="1"/>
  <c r="B755" i="1"/>
  <c r="H754" i="1"/>
  <c r="F754" i="1"/>
  <c r="D754" i="1"/>
  <c r="B754" i="1"/>
  <c r="H753" i="1"/>
  <c r="F753" i="1"/>
  <c r="D753" i="1"/>
  <c r="B753" i="1"/>
  <c r="A753" i="1"/>
  <c r="F752" i="1"/>
  <c r="D752" i="1"/>
  <c r="B752" i="1"/>
  <c r="H751" i="1"/>
  <c r="F751" i="1"/>
  <c r="D751" i="1"/>
  <c r="B751" i="1"/>
  <c r="H750" i="1"/>
  <c r="F750" i="1"/>
  <c r="D750" i="1"/>
  <c r="C750" i="1"/>
  <c r="H749" i="1"/>
  <c r="F749" i="1"/>
  <c r="D749" i="1"/>
  <c r="B749" i="1"/>
  <c r="H748" i="1"/>
  <c r="F748" i="1"/>
  <c r="D748" i="1"/>
  <c r="B748" i="1"/>
  <c r="H747" i="1"/>
  <c r="F747" i="1"/>
  <c r="D747" i="1"/>
  <c r="C747" i="1"/>
  <c r="A747" i="1"/>
  <c r="G746" i="1"/>
  <c r="E746" i="1"/>
  <c r="C746" i="1"/>
  <c r="A746" i="1"/>
  <c r="H745" i="1"/>
  <c r="F745" i="1"/>
  <c r="D745" i="1"/>
  <c r="B745" i="1"/>
  <c r="H744" i="1"/>
  <c r="G744" i="1"/>
  <c r="E744" i="1"/>
  <c r="C744" i="1"/>
  <c r="A744" i="1"/>
  <c r="F743" i="1"/>
  <c r="D743" i="1"/>
  <c r="B743" i="1"/>
  <c r="H742" i="1"/>
  <c r="F742" i="1"/>
  <c r="D742" i="1"/>
  <c r="A742" i="1"/>
  <c r="H741" i="1"/>
  <c r="F741" i="1"/>
  <c r="C741" i="1"/>
  <c r="B741" i="1"/>
  <c r="H740" i="1"/>
  <c r="F740" i="1"/>
  <c r="C740" i="1"/>
  <c r="B740" i="1"/>
  <c r="H739" i="1"/>
  <c r="F739" i="1"/>
  <c r="C739" i="1"/>
  <c r="A739" i="1"/>
  <c r="G738" i="1"/>
  <c r="E738" i="1"/>
  <c r="D738" i="1"/>
  <c r="B738" i="1"/>
  <c r="H737" i="1"/>
  <c r="F737" i="1"/>
  <c r="D737" i="1"/>
  <c r="B737" i="1"/>
  <c r="H736" i="1"/>
  <c r="F736" i="1"/>
  <c r="D736" i="1"/>
  <c r="B736" i="1"/>
  <c r="H735" i="1"/>
  <c r="F735" i="1"/>
  <c r="D735" i="1"/>
  <c r="B735" i="1"/>
  <c r="H734" i="1"/>
  <c r="F734" i="1"/>
  <c r="D734" i="1"/>
  <c r="B734" i="1"/>
  <c r="H733" i="1"/>
  <c r="F733" i="1"/>
  <c r="D733" i="1"/>
  <c r="B733" i="1"/>
  <c r="H732" i="1"/>
  <c r="F732" i="1"/>
  <c r="D732" i="1"/>
  <c r="B732" i="1"/>
  <c r="H731" i="1"/>
  <c r="E731" i="1"/>
  <c r="D731" i="1"/>
  <c r="B731" i="1"/>
  <c r="H730" i="1"/>
  <c r="F730" i="1"/>
  <c r="D730" i="1"/>
  <c r="B730" i="1"/>
  <c r="H729" i="1"/>
  <c r="F729" i="1"/>
  <c r="D729" i="1"/>
  <c r="B729" i="1"/>
  <c r="H728" i="1"/>
  <c r="F728" i="1"/>
  <c r="D728" i="1"/>
  <c r="B728" i="1"/>
  <c r="H727" i="1"/>
  <c r="F727" i="1"/>
  <c r="D727" i="1"/>
  <c r="B727" i="1"/>
  <c r="H726" i="1"/>
  <c r="E726" i="1"/>
  <c r="C726" i="1"/>
  <c r="B726" i="1"/>
  <c r="H725" i="1"/>
  <c r="F725" i="1"/>
  <c r="D725" i="1"/>
  <c r="B725" i="1"/>
  <c r="H724" i="1"/>
  <c r="F724" i="1"/>
  <c r="D724" i="1"/>
  <c r="B724" i="1"/>
  <c r="H723" i="1"/>
  <c r="F723" i="1"/>
  <c r="D723" i="1"/>
  <c r="B723" i="1"/>
  <c r="H722" i="1"/>
  <c r="F722" i="1"/>
  <c r="D722" i="1"/>
  <c r="B722" i="1"/>
  <c r="H721" i="1"/>
  <c r="F721" i="1"/>
  <c r="D721" i="1"/>
  <c r="B721" i="1"/>
  <c r="H720" i="1"/>
  <c r="E720" i="1"/>
  <c r="B720" i="1"/>
  <c r="A720" i="1"/>
  <c r="G719" i="1"/>
  <c r="E719" i="1"/>
  <c r="C719" i="1"/>
  <c r="A719" i="1"/>
  <c r="G718" i="1"/>
  <c r="F718" i="1"/>
  <c r="D718" i="1"/>
  <c r="B718" i="1"/>
  <c r="H717" i="1"/>
  <c r="F717" i="1"/>
  <c r="D717" i="1"/>
  <c r="B717" i="1"/>
  <c r="H716" i="1"/>
  <c r="F716" i="1"/>
  <c r="D716" i="1"/>
  <c r="B716" i="1"/>
  <c r="G715" i="1"/>
  <c r="F715" i="1"/>
  <c r="C715" i="1"/>
  <c r="A715" i="1"/>
  <c r="G714" i="1"/>
  <c r="E714" i="1"/>
  <c r="C714" i="1"/>
  <c r="A714" i="1"/>
  <c r="G713" i="1"/>
  <c r="E713" i="1"/>
  <c r="C713" i="1"/>
  <c r="B713" i="1"/>
  <c r="H712" i="1"/>
  <c r="E712" i="1"/>
  <c r="D712" i="1"/>
  <c r="B712" i="1"/>
  <c r="H711" i="1"/>
  <c r="F711" i="1"/>
  <c r="D711" i="1"/>
  <c r="B711" i="1"/>
  <c r="H710" i="1"/>
  <c r="F710" i="1"/>
  <c r="D710" i="1"/>
  <c r="A710" i="1"/>
  <c r="H709" i="1"/>
  <c r="E709" i="1"/>
  <c r="C709" i="1"/>
  <c r="A709" i="1"/>
  <c r="G708" i="1"/>
  <c r="E708" i="1"/>
  <c r="C708" i="1"/>
  <c r="A708" i="1"/>
  <c r="F707" i="1"/>
  <c r="E707" i="1"/>
  <c r="C707" i="1"/>
  <c r="A707" i="1"/>
  <c r="G706" i="1"/>
  <c r="E706" i="1"/>
  <c r="C706" i="1"/>
  <c r="A706" i="1"/>
  <c r="G705" i="1"/>
  <c r="E705" i="1"/>
  <c r="C705" i="1"/>
  <c r="A705" i="1"/>
  <c r="G704" i="1"/>
  <c r="E704" i="1"/>
  <c r="C704" i="1"/>
  <c r="A704" i="1"/>
  <c r="G703" i="1"/>
  <c r="D703" i="1"/>
  <c r="B703" i="1"/>
  <c r="A703" i="1"/>
  <c r="G702" i="1"/>
  <c r="E702" i="1"/>
  <c r="B702" i="1"/>
  <c r="H701" i="1"/>
  <c r="G701" i="1"/>
  <c r="D701" i="1"/>
  <c r="B701" i="1"/>
  <c r="H700" i="1"/>
  <c r="F700" i="1"/>
  <c r="D700" i="1"/>
  <c r="B700" i="1"/>
  <c r="H699" i="1"/>
  <c r="F699" i="1"/>
  <c r="D699" i="1"/>
  <c r="B699" i="1"/>
  <c r="H698" i="1"/>
  <c r="F698" i="1"/>
  <c r="D698" i="1"/>
  <c r="B698" i="1"/>
  <c r="H697" i="1"/>
  <c r="F697" i="1"/>
  <c r="D697" i="1"/>
  <c r="B697" i="1"/>
  <c r="H696" i="1"/>
  <c r="F696" i="1"/>
  <c r="E696" i="1"/>
  <c r="C696" i="1"/>
  <c r="H695" i="1"/>
  <c r="G695" i="1"/>
  <c r="D695" i="1"/>
  <c r="C695" i="1"/>
  <c r="A695" i="1"/>
  <c r="G694" i="1"/>
  <c r="E694" i="1"/>
  <c r="C694" i="1"/>
  <c r="A694" i="1"/>
  <c r="G693" i="1"/>
  <c r="E693" i="1"/>
  <c r="C693" i="1"/>
  <c r="A693" i="1"/>
  <c r="G692" i="1"/>
  <c r="E692" i="1"/>
  <c r="C692" i="1"/>
  <c r="A692" i="1"/>
  <c r="G691" i="1"/>
  <c r="E691" i="1"/>
  <c r="C691" i="1"/>
  <c r="A691" i="1"/>
  <c r="G690" i="1"/>
  <c r="E690" i="1"/>
  <c r="C690" i="1"/>
  <c r="A690" i="1"/>
  <c r="G689" i="1"/>
  <c r="E689" i="1"/>
  <c r="D689" i="1"/>
  <c r="B689" i="1"/>
  <c r="H688" i="1"/>
  <c r="F688" i="1"/>
  <c r="D688" i="1"/>
  <c r="C688" i="1"/>
  <c r="A688" i="1"/>
  <c r="G687" i="1"/>
  <c r="E687" i="1"/>
  <c r="A686" i="1"/>
  <c r="A684" i="1"/>
  <c r="G681" i="1"/>
  <c r="A680" i="1"/>
  <c r="F677" i="1"/>
  <c r="E674" i="1"/>
  <c r="G669" i="1"/>
  <c r="H667" i="1"/>
  <c r="B664" i="1"/>
  <c r="G661" i="1"/>
  <c r="E659" i="1"/>
  <c r="F656" i="1"/>
  <c r="F654" i="1"/>
  <c r="H652" i="1"/>
  <c r="B648" i="1"/>
  <c r="G645" i="1"/>
  <c r="H643" i="1"/>
  <c r="H642" i="1"/>
  <c r="B629" i="1"/>
  <c r="B627" i="1"/>
  <c r="E623" i="1"/>
  <c r="E621" i="1"/>
  <c r="G619" i="1"/>
  <c r="F616" i="1"/>
  <c r="H611" i="1"/>
  <c r="E609" i="1"/>
  <c r="G605" i="1"/>
  <c r="A605" i="1"/>
  <c r="F601" i="1"/>
  <c r="F598" i="1"/>
  <c r="B395" i="1"/>
  <c r="F393" i="1"/>
  <c r="F390" i="1"/>
  <c r="F389" i="1"/>
  <c r="D382" i="1"/>
  <c r="D381" i="1"/>
  <c r="D379" i="1"/>
  <c r="C378" i="1"/>
  <c r="B377" i="1"/>
  <c r="E375" i="1"/>
  <c r="A373" i="1"/>
  <c r="F371" i="1"/>
  <c r="B369" i="1"/>
  <c r="H367" i="1"/>
  <c r="F365" i="1"/>
  <c r="D364" i="1"/>
  <c r="E359" i="1"/>
  <c r="D354" i="1"/>
  <c r="E342" i="1"/>
  <c r="E338" i="1"/>
  <c r="G337" i="1"/>
  <c r="E333" i="1"/>
  <c r="H331" i="1"/>
  <c r="A329" i="1"/>
  <c r="D327" i="1"/>
  <c r="H325" i="1"/>
  <c r="F320" i="1"/>
  <c r="A317" i="1"/>
  <c r="D316" i="1"/>
  <c r="C315" i="1"/>
  <c r="F311" i="1"/>
  <c r="G310" i="1"/>
  <c r="D309" i="1"/>
  <c r="D306" i="1"/>
  <c r="B304" i="1"/>
  <c r="H959" i="1"/>
  <c r="G958" i="1"/>
  <c r="F957" i="1"/>
  <c r="E956" i="1"/>
  <c r="D955" i="1"/>
  <c r="B954" i="1"/>
  <c r="A953" i="1"/>
  <c r="G951" i="1"/>
  <c r="E950" i="1"/>
  <c r="D949" i="1"/>
  <c r="B948" i="1"/>
  <c r="A947" i="1"/>
  <c r="H945" i="1"/>
  <c r="F944" i="1"/>
  <c r="E943" i="1"/>
  <c r="D942" i="1"/>
  <c r="C941" i="1"/>
  <c r="F940" i="1"/>
  <c r="H939" i="1"/>
  <c r="G938" i="1"/>
  <c r="H937" i="1"/>
  <c r="C937" i="1"/>
  <c r="E936" i="1"/>
  <c r="E959" i="1"/>
  <c r="D958" i="1"/>
  <c r="C957" i="1"/>
  <c r="B956" i="1"/>
  <c r="G954" i="1"/>
  <c r="E953" i="1"/>
  <c r="C952" i="1"/>
  <c r="B951" i="1"/>
  <c r="A950" i="1"/>
  <c r="A949" i="1"/>
  <c r="H947" i="1"/>
  <c r="H946" i="1"/>
  <c r="G945" i="1"/>
  <c r="G944" i="1"/>
  <c r="F943" i="1"/>
  <c r="E942" i="1"/>
  <c r="D941" i="1"/>
  <c r="G940" i="1"/>
  <c r="B940" i="1"/>
  <c r="D939" i="1"/>
  <c r="E938" i="1"/>
  <c r="G937" i="1"/>
  <c r="B937" i="1"/>
  <c r="D936" i="1"/>
  <c r="B936" i="1"/>
  <c r="E935" i="1"/>
  <c r="H934" i="1"/>
  <c r="H933" i="1"/>
  <c r="B933" i="1"/>
  <c r="D932" i="1"/>
  <c r="F931" i="1"/>
  <c r="H930" i="1"/>
  <c r="B930" i="1"/>
  <c r="F929" i="1"/>
  <c r="F928" i="1"/>
  <c r="A928" i="1"/>
  <c r="D927" i="1"/>
  <c r="F926" i="1"/>
  <c r="H925" i="1"/>
  <c r="B925" i="1"/>
  <c r="D924" i="1"/>
  <c r="F923" i="1"/>
  <c r="H922" i="1"/>
  <c r="C922" i="1"/>
  <c r="F921" i="1"/>
  <c r="F920" i="1"/>
  <c r="A920" i="1"/>
  <c r="C919" i="1"/>
  <c r="E918" i="1"/>
  <c r="G917" i="1"/>
  <c r="A917" i="1"/>
  <c r="C916" i="1"/>
  <c r="E915" i="1"/>
  <c r="G914" i="1"/>
  <c r="A914" i="1"/>
  <c r="F913" i="1"/>
  <c r="H912" i="1"/>
  <c r="B912" i="1"/>
  <c r="D911" i="1"/>
  <c r="F910" i="1"/>
  <c r="B910" i="1"/>
  <c r="B909" i="1"/>
  <c r="F908" i="1"/>
  <c r="H907" i="1"/>
  <c r="B907" i="1"/>
  <c r="D906" i="1"/>
  <c r="G905" i="1"/>
  <c r="C905" i="1"/>
  <c r="C904" i="1"/>
  <c r="E903" i="1"/>
  <c r="H902" i="1"/>
  <c r="B902" i="1"/>
  <c r="D901" i="1"/>
  <c r="G898" i="1"/>
  <c r="G896" i="1"/>
  <c r="A895" i="1"/>
  <c r="F892" i="1"/>
  <c r="E889" i="1"/>
  <c r="G885" i="1"/>
  <c r="D883" i="1"/>
  <c r="E879" i="1"/>
  <c r="B878" i="1"/>
  <c r="H873" i="1"/>
  <c r="E871" i="1"/>
  <c r="H867" i="1"/>
  <c r="H865" i="1"/>
  <c r="H863" i="1"/>
  <c r="A861" i="1"/>
  <c r="D146" i="1"/>
  <c r="H145" i="1"/>
  <c r="D145" i="1"/>
  <c r="H144" i="1"/>
  <c r="D144" i="1"/>
  <c r="H143" i="1"/>
  <c r="B143" i="1"/>
  <c r="F142" i="1"/>
  <c r="A142" i="1"/>
  <c r="E141" i="1"/>
  <c r="A141" i="1"/>
  <c r="E140" i="1"/>
  <c r="A140" i="1"/>
  <c r="E139" i="1"/>
  <c r="A139" i="1"/>
  <c r="E138" i="1"/>
  <c r="A138" i="1"/>
  <c r="E137" i="1"/>
  <c r="A137" i="1"/>
  <c r="E136" i="1"/>
  <c r="C136" i="1"/>
  <c r="G135" i="1"/>
  <c r="C135" i="1"/>
  <c r="G134" i="1"/>
  <c r="C134" i="1"/>
  <c r="G133" i="1"/>
  <c r="C133" i="1"/>
  <c r="G132" i="1"/>
  <c r="C132" i="1"/>
  <c r="A132" i="1"/>
  <c r="E131" i="1"/>
  <c r="A131" i="1"/>
  <c r="E130" i="1"/>
  <c r="A130" i="1"/>
  <c r="F129" i="1"/>
  <c r="B129" i="1"/>
  <c r="F128" i="1"/>
  <c r="B128" i="1"/>
  <c r="F127" i="1"/>
  <c r="B127" i="1"/>
  <c r="F126" i="1"/>
  <c r="B126" i="1"/>
  <c r="E125" i="1"/>
  <c r="A125" i="1"/>
  <c r="F124" i="1"/>
  <c r="B124" i="1"/>
  <c r="F123" i="1"/>
  <c r="B123" i="1"/>
  <c r="F122" i="1"/>
  <c r="B122" i="1"/>
  <c r="F121" i="1"/>
  <c r="B121" i="1"/>
  <c r="F120" i="1"/>
  <c r="B120" i="1"/>
  <c r="F119" i="1"/>
  <c r="B119" i="1"/>
  <c r="F118" i="1"/>
  <c r="B118" i="1"/>
  <c r="F117" i="1"/>
  <c r="B117" i="1"/>
  <c r="F116" i="1"/>
  <c r="C116" i="1"/>
  <c r="G115" i="1"/>
  <c r="C115" i="1"/>
  <c r="F114" i="1"/>
  <c r="B114" i="1"/>
  <c r="F113" i="1"/>
  <c r="B113" i="1"/>
  <c r="H112" i="1"/>
  <c r="B112" i="1"/>
  <c r="G111" i="1"/>
  <c r="C111" i="1"/>
  <c r="G110" i="1"/>
  <c r="C110" i="1"/>
  <c r="G109" i="1"/>
  <c r="C109" i="1"/>
  <c r="D108" i="1"/>
  <c r="H107" i="1"/>
  <c r="E107" i="1"/>
  <c r="A107" i="1"/>
  <c r="D106" i="1"/>
  <c r="H105" i="1"/>
  <c r="E105" i="1"/>
  <c r="G104" i="1"/>
  <c r="C104" i="1"/>
  <c r="G103" i="1"/>
  <c r="C103" i="1"/>
  <c r="G102" i="1"/>
  <c r="B102" i="1"/>
  <c r="F101" i="1"/>
  <c r="B101" i="1"/>
  <c r="F100" i="1"/>
  <c r="B100" i="1"/>
  <c r="G99" i="1"/>
  <c r="C99" i="1"/>
  <c r="G98" i="1"/>
  <c r="C98" i="1"/>
  <c r="G97" i="1"/>
  <c r="C97" i="1"/>
  <c r="G96" i="1"/>
  <c r="C96" i="1"/>
  <c r="G95" i="1"/>
  <c r="C95" i="1"/>
  <c r="G94" i="1"/>
  <c r="C94" i="1"/>
  <c r="G93" i="1"/>
  <c r="C93" i="1"/>
  <c r="H92" i="1"/>
  <c r="D92" i="1"/>
  <c r="G91" i="1"/>
  <c r="C91" i="1"/>
  <c r="G90" i="1"/>
  <c r="C90" i="1"/>
  <c r="H89" i="1"/>
  <c r="C89" i="1"/>
  <c r="H88" i="1"/>
  <c r="C88" i="1"/>
  <c r="G87" i="1"/>
  <c r="C87" i="1"/>
  <c r="G86" i="1"/>
  <c r="C86" i="1"/>
  <c r="G85" i="1"/>
  <c r="C85" i="1"/>
  <c r="G84" i="1"/>
  <c r="C84" i="1"/>
  <c r="G83" i="1"/>
  <c r="C83" i="1"/>
  <c r="H82" i="1"/>
  <c r="D82" i="1"/>
  <c r="H81" i="1"/>
  <c r="D81" i="1"/>
  <c r="H80" i="1"/>
  <c r="D80" i="1"/>
  <c r="H79" i="1"/>
  <c r="C79" i="1"/>
  <c r="G78" i="1"/>
  <c r="B78" i="1"/>
  <c r="E77" i="1"/>
  <c r="A77" i="1"/>
  <c r="G76" i="1"/>
  <c r="G50" i="1"/>
  <c r="G37" i="1"/>
  <c r="H30" i="1"/>
  <c r="B806" i="1"/>
  <c r="D802" i="1"/>
  <c r="G799" i="1"/>
  <c r="E797" i="1"/>
  <c r="D794" i="1"/>
  <c r="E791" i="1"/>
  <c r="E789" i="1"/>
  <c r="F787" i="1"/>
  <c r="B783" i="1"/>
  <c r="F780" i="1"/>
  <c r="B779" i="1"/>
  <c r="G774" i="1"/>
  <c r="G771" i="1"/>
  <c r="E769" i="1"/>
  <c r="D684" i="1"/>
  <c r="A682" i="1"/>
  <c r="E677" i="1"/>
  <c r="G673" i="1"/>
  <c r="B670" i="1"/>
  <c r="E666" i="1"/>
  <c r="E663" i="1"/>
  <c r="G659" i="1"/>
  <c r="G656" i="1"/>
  <c r="E652" i="1"/>
  <c r="F650" i="1"/>
  <c r="D649" i="1"/>
  <c r="E647" i="1"/>
  <c r="B644" i="1"/>
  <c r="B640" i="1"/>
  <c r="F637" i="1"/>
  <c r="F635" i="1"/>
  <c r="A631" i="1"/>
  <c r="D628" i="1"/>
  <c r="C626" i="1"/>
  <c r="G623" i="1"/>
  <c r="C620" i="1"/>
  <c r="A617" i="1"/>
  <c r="F614" i="1"/>
  <c r="H612" i="1"/>
  <c r="A610" i="1"/>
  <c r="C606" i="1"/>
  <c r="F602" i="1"/>
  <c r="A600" i="1"/>
  <c r="A598" i="1"/>
  <c r="B594" i="1"/>
  <c r="D590" i="1"/>
  <c r="G587" i="1"/>
  <c r="A585" i="1"/>
  <c r="H582" i="1"/>
  <c r="H579" i="1"/>
  <c r="A577" i="1"/>
  <c r="C375" i="1"/>
  <c r="A369" i="1"/>
  <c r="E366" i="1"/>
  <c r="E364" i="1"/>
  <c r="H361" i="1"/>
  <c r="G358" i="1"/>
  <c r="C356" i="1"/>
  <c r="F353" i="1"/>
  <c r="C352" i="1"/>
  <c r="F349" i="1"/>
  <c r="D347" i="1"/>
  <c r="C346" i="1"/>
  <c r="C344" i="1"/>
  <c r="H342" i="1"/>
  <c r="B337" i="1"/>
  <c r="D335" i="1"/>
  <c r="B330" i="1"/>
  <c r="C328" i="1"/>
  <c r="D325" i="1"/>
  <c r="D322" i="1"/>
  <c r="E320" i="1"/>
  <c r="F318" i="1"/>
  <c r="C316" i="1"/>
  <c r="A314" i="1"/>
  <c r="D312" i="1"/>
  <c r="D308" i="1"/>
  <c r="A305" i="1"/>
  <c r="G302" i="1"/>
  <c r="D299" i="1"/>
  <c r="H295" i="1"/>
  <c r="F293" i="1"/>
  <c r="G290" i="1"/>
  <c r="D287" i="1"/>
  <c r="C618" i="1"/>
  <c r="F608" i="1"/>
  <c r="G604" i="1"/>
  <c r="A596" i="1"/>
  <c r="D589" i="1"/>
  <c r="F584" i="1"/>
  <c r="F579" i="1"/>
  <c r="D574" i="1"/>
  <c r="H567" i="1"/>
  <c r="G563" i="1"/>
  <c r="C555" i="1"/>
  <c r="E547" i="1"/>
  <c r="B542" i="1"/>
  <c r="H535" i="1"/>
  <c r="F531" i="1"/>
  <c r="B525" i="1"/>
  <c r="C518" i="1"/>
  <c r="A395" i="1"/>
  <c r="E382" i="1"/>
  <c r="E378" i="1"/>
  <c r="E370" i="1"/>
  <c r="A360" i="1"/>
  <c r="E337" i="1"/>
  <c r="H326" i="1"/>
  <c r="G315" i="1"/>
  <c r="H306" i="1"/>
  <c r="H297" i="1"/>
  <c r="F285" i="1"/>
  <c r="F272" i="1"/>
  <c r="G70" i="1"/>
  <c r="E27" i="1"/>
  <c r="E800" i="1"/>
  <c r="H791" i="1"/>
  <c r="G785" i="1"/>
  <c r="F777" i="1"/>
  <c r="B772" i="1"/>
  <c r="H683" i="1"/>
  <c r="A678" i="1"/>
  <c r="H669" i="1"/>
  <c r="C661" i="1"/>
  <c r="B656" i="1"/>
  <c r="D646" i="1"/>
  <c r="E641" i="1"/>
  <c r="G632" i="1"/>
  <c r="F585" i="1"/>
  <c r="H578" i="1"/>
  <c r="A572" i="1"/>
  <c r="C564" i="1"/>
  <c r="H552" i="1"/>
  <c r="H546" i="1"/>
  <c r="E540" i="1"/>
  <c r="E537" i="1"/>
  <c r="E532" i="1"/>
  <c r="D528" i="1"/>
  <c r="A524" i="1"/>
  <c r="H518" i="1"/>
  <c r="A515" i="1"/>
  <c r="H394" i="1"/>
  <c r="G388" i="1"/>
  <c r="H383" i="1"/>
  <c r="C381" i="1"/>
  <c r="B376" i="1"/>
  <c r="F363" i="1"/>
  <c r="B356" i="1"/>
  <c r="G336" i="1"/>
  <c r="F331" i="1"/>
  <c r="G323" i="1"/>
  <c r="H316" i="1"/>
  <c r="B286" i="1"/>
  <c r="F280" i="1"/>
  <c r="B277" i="1"/>
  <c r="E274" i="1"/>
  <c r="E271" i="1"/>
  <c r="B268" i="1"/>
  <c r="D266" i="1"/>
  <c r="E65" i="1"/>
  <c r="G63" i="1"/>
  <c r="H61" i="1"/>
  <c r="F58" i="1"/>
  <c r="G56" i="1"/>
  <c r="C53" i="1"/>
  <c r="B51" i="1"/>
  <c r="B49" i="1"/>
  <c r="E46" i="1"/>
  <c r="H42" i="1"/>
  <c r="H40" i="1"/>
  <c r="E37" i="1"/>
  <c r="E33" i="1"/>
  <c r="D32" i="1"/>
  <c r="D28" i="1"/>
  <c r="C26" i="1"/>
  <c r="A24" i="1"/>
  <c r="E20" i="1"/>
  <c r="D18" i="1"/>
  <c r="D15" i="1"/>
  <c r="G12" i="1"/>
  <c r="H10" i="1"/>
  <c r="B798" i="1"/>
  <c r="A794" i="1"/>
  <c r="A792" i="1"/>
  <c r="B786" i="1"/>
  <c r="F783" i="1"/>
  <c r="G779" i="1"/>
  <c r="H776" i="1"/>
  <c r="D772" i="1"/>
  <c r="C769" i="1"/>
  <c r="B686" i="1"/>
  <c r="C682" i="1"/>
  <c r="A677" i="1"/>
  <c r="A673" i="1"/>
  <c r="C668" i="1"/>
  <c r="G664" i="1"/>
  <c r="B661" i="1"/>
  <c r="B658" i="1"/>
  <c r="A655" i="1"/>
  <c r="E645" i="1"/>
  <c r="F643" i="1"/>
  <c r="E639" i="1"/>
  <c r="H634" i="1"/>
  <c r="H628" i="1"/>
  <c r="A624" i="1"/>
  <c r="D618" i="1"/>
  <c r="E611" i="1"/>
  <c r="D608" i="1"/>
  <c r="A590" i="1"/>
  <c r="H587" i="1"/>
  <c r="A583" i="1"/>
  <c r="B579" i="1"/>
  <c r="F572" i="1"/>
  <c r="D568" i="1"/>
  <c r="B564" i="1"/>
  <c r="E557" i="1"/>
  <c r="B555" i="1"/>
  <c r="A548" i="1"/>
  <c r="B546" i="1"/>
  <c r="C540" i="1"/>
  <c r="C535" i="1"/>
  <c r="A530" i="1"/>
  <c r="G525" i="1"/>
  <c r="C522" i="1"/>
  <c r="B518" i="1"/>
  <c r="F514" i="1"/>
  <c r="C397" i="1"/>
  <c r="F394" i="1"/>
  <c r="F385" i="1"/>
  <c r="E381" i="1"/>
  <c r="F378" i="1"/>
  <c r="D373" i="1"/>
  <c r="E368" i="1"/>
  <c r="G363" i="1"/>
  <c r="F347" i="1"/>
  <c r="G341" i="1"/>
  <c r="A335" i="1"/>
  <c r="F315" i="1"/>
  <c r="E302" i="1"/>
  <c r="C297" i="1"/>
  <c r="G292" i="1"/>
  <c r="H288" i="1"/>
  <c r="A283" i="1"/>
  <c r="F278" i="1"/>
  <c r="A272" i="1"/>
  <c r="F269" i="1"/>
  <c r="E268" i="1"/>
  <c r="A263" i="1"/>
  <c r="F70" i="1"/>
  <c r="E66" i="1"/>
  <c r="B60" i="1"/>
  <c r="F57" i="1"/>
  <c r="D38" i="1"/>
  <c r="G33" i="1"/>
  <c r="E32" i="1"/>
  <c r="B31" i="1"/>
  <c r="D30" i="1"/>
  <c r="C29" i="1"/>
  <c r="D26" i="1"/>
  <c r="D16" i="1"/>
  <c r="G13" i="1"/>
  <c r="B800" i="1"/>
  <c r="D797" i="1"/>
  <c r="C795" i="1"/>
  <c r="B793" i="1"/>
  <c r="B791" i="1"/>
  <c r="G788" i="1"/>
  <c r="E787" i="1"/>
  <c r="D784" i="1"/>
  <c r="G781" i="1"/>
  <c r="B780" i="1"/>
  <c r="A778" i="1"/>
  <c r="E775" i="1"/>
  <c r="E773" i="1"/>
  <c r="F770" i="1"/>
  <c r="B769" i="1"/>
  <c r="B684" i="1"/>
  <c r="B682" i="1"/>
  <c r="B678" i="1"/>
  <c r="F676" i="1"/>
  <c r="D674" i="1"/>
  <c r="E671" i="1"/>
  <c r="B669" i="1"/>
  <c r="F666" i="1"/>
  <c r="H664" i="1"/>
  <c r="A663" i="1"/>
  <c r="D661" i="1"/>
  <c r="A659" i="1"/>
  <c r="H656" i="1"/>
  <c r="B655" i="1"/>
  <c r="A653" i="1"/>
  <c r="G649" i="1"/>
  <c r="C648" i="1"/>
  <c r="C647" i="1"/>
  <c r="A646" i="1"/>
  <c r="A644" i="1"/>
  <c r="G641" i="1"/>
  <c r="C639" i="1"/>
  <c r="E636" i="1"/>
  <c r="A634" i="1"/>
  <c r="B632" i="1"/>
  <c r="E629" i="1"/>
  <c r="E624" i="1"/>
  <c r="A622" i="1"/>
  <c r="H616" i="1"/>
  <c r="A611" i="1"/>
  <c r="F606" i="1"/>
  <c r="D602" i="1"/>
  <c r="D598" i="1"/>
  <c r="F593" i="1"/>
  <c r="E591" i="1"/>
  <c r="B586" i="1"/>
  <c r="B584" i="1"/>
  <c r="F582" i="1"/>
  <c r="D577" i="1"/>
  <c r="H571" i="1"/>
  <c r="F569" i="1"/>
  <c r="F565" i="1"/>
  <c r="A562" i="1"/>
  <c r="A557" i="1"/>
  <c r="G552" i="1"/>
  <c r="G550" i="1"/>
  <c r="F546" i="1"/>
  <c r="F540" i="1"/>
  <c r="F537" i="1"/>
  <c r="A534" i="1"/>
  <c r="G529" i="1"/>
  <c r="H527" i="1"/>
  <c r="G521" i="1"/>
  <c r="B516" i="1"/>
  <c r="G396" i="1"/>
  <c r="E387" i="1"/>
  <c r="G384" i="1"/>
  <c r="H380" i="1"/>
  <c r="H376" i="1"/>
  <c r="F375" i="1"/>
  <c r="E365" i="1"/>
  <c r="C343" i="1"/>
  <c r="G338" i="1"/>
  <c r="D332" i="1"/>
  <c r="B326" i="1"/>
  <c r="B320" i="1"/>
  <c r="G311" i="1"/>
  <c r="F309" i="1"/>
  <c r="E299" i="1"/>
  <c r="F295" i="1"/>
  <c r="F292" i="1"/>
  <c r="D276" i="1"/>
  <c r="E269" i="1"/>
  <c r="B262" i="1"/>
  <c r="A35" i="1"/>
  <c r="F21" i="1"/>
  <c r="F13" i="1"/>
  <c r="H797" i="1"/>
  <c r="E793" i="1"/>
  <c r="G787" i="1"/>
  <c r="G783" i="1"/>
  <c r="C780" i="1"/>
  <c r="D775" i="1"/>
  <c r="C770" i="1"/>
  <c r="E685" i="1"/>
  <c r="D682" i="1"/>
  <c r="D676" i="1"/>
  <c r="C672" i="1"/>
  <c r="E667" i="1"/>
  <c r="G662" i="1"/>
  <c r="F658" i="1"/>
  <c r="H653" i="1"/>
  <c r="H647" i="1"/>
  <c r="E644" i="1"/>
  <c r="D639" i="1"/>
  <c r="F636" i="1"/>
  <c r="A630" i="1"/>
  <c r="E626" i="1"/>
  <c r="B623" i="1"/>
  <c r="E617" i="1"/>
  <c r="E615" i="1"/>
  <c r="C609" i="1"/>
  <c r="C605" i="1"/>
  <c r="G603" i="1"/>
  <c r="D600" i="1"/>
  <c r="C596" i="1"/>
  <c r="G593" i="1"/>
  <c r="A584" i="1"/>
  <c r="E582" i="1"/>
  <c r="G576" i="1"/>
  <c r="H573" i="1"/>
  <c r="G567" i="1"/>
  <c r="G565" i="1"/>
  <c r="D559" i="1"/>
  <c r="B556" i="1"/>
  <c r="B960" i="1"/>
  <c r="E548" i="1"/>
  <c r="D542" i="1"/>
  <c r="B541" i="1"/>
  <c r="E538" i="1"/>
  <c r="B536" i="1"/>
  <c r="H533" i="1"/>
  <c r="G531" i="1"/>
  <c r="H529" i="1"/>
  <c r="G527" i="1"/>
  <c r="A526" i="1"/>
  <c r="G522" i="1"/>
  <c r="H519" i="1"/>
  <c r="G516" i="1"/>
  <c r="H515" i="1"/>
  <c r="H396" i="1"/>
  <c r="F395" i="1"/>
  <c r="F392" i="1"/>
  <c r="E390" i="1"/>
  <c r="G385" i="1"/>
  <c r="E384" i="1"/>
  <c r="A382" i="1"/>
  <c r="F379" i="1"/>
  <c r="H377" i="1"/>
  <c r="E371" i="1"/>
  <c r="D365" i="1"/>
  <c r="A362" i="1"/>
  <c r="D359" i="1"/>
  <c r="D346" i="1"/>
  <c r="F337" i="1"/>
  <c r="G334" i="1"/>
  <c r="G332" i="1"/>
  <c r="D328" i="1"/>
  <c r="F324" i="1"/>
  <c r="B323" i="1"/>
  <c r="C319" i="1"/>
  <c r="F314" i="1"/>
  <c r="B312" i="1"/>
  <c r="H407" i="1"/>
  <c r="B408" i="1"/>
  <c r="D408" i="1"/>
  <c r="F408" i="1"/>
  <c r="H408" i="1"/>
  <c r="A409" i="1"/>
  <c r="C409" i="1"/>
  <c r="E409" i="1"/>
  <c r="G409" i="1"/>
  <c r="H409" i="1"/>
  <c r="B410" i="1"/>
  <c r="D410" i="1"/>
  <c r="F410" i="1"/>
  <c r="G410" i="1"/>
  <c r="A411" i="1"/>
  <c r="C411" i="1"/>
  <c r="E411" i="1"/>
  <c r="F411" i="1"/>
  <c r="H411" i="1"/>
  <c r="B412" i="1"/>
  <c r="C412" i="1"/>
  <c r="E412" i="1"/>
  <c r="G412" i="1"/>
  <c r="A413" i="1"/>
  <c r="B413" i="1"/>
  <c r="D413" i="1"/>
  <c r="F413" i="1"/>
  <c r="H413" i="1"/>
  <c r="A414" i="1"/>
  <c r="C414" i="1"/>
  <c r="E414" i="1"/>
  <c r="F414" i="1"/>
  <c r="H414" i="1"/>
  <c r="B415" i="1"/>
  <c r="D415" i="1"/>
  <c r="E415" i="1"/>
  <c r="G415" i="1"/>
  <c r="A416" i="1"/>
  <c r="B416" i="1"/>
  <c r="D416" i="1"/>
  <c r="F416" i="1"/>
  <c r="H416" i="1"/>
  <c r="B417" i="1"/>
  <c r="C417" i="1"/>
  <c r="E417" i="1"/>
  <c r="G417" i="1"/>
  <c r="H1061" i="1"/>
  <c r="C1063" i="1"/>
  <c r="D1064" i="1"/>
  <c r="E1065" i="1"/>
  <c r="G1066" i="1"/>
  <c r="E1034" i="1"/>
  <c r="F1036" i="1"/>
  <c r="F1038" i="1"/>
  <c r="A1045" i="1"/>
  <c r="A1047" i="1"/>
  <c r="C1049" i="1"/>
  <c r="H1050" i="1"/>
  <c r="B1053" i="1"/>
  <c r="A1055" i="1"/>
  <c r="B1057" i="1"/>
  <c r="H1058" i="1"/>
  <c r="G1061" i="1"/>
  <c r="D1063" i="1"/>
  <c r="D1065" i="1"/>
  <c r="F1067" i="1"/>
  <c r="C1069" i="1"/>
  <c r="C1071" i="1"/>
  <c r="B1073" i="1"/>
  <c r="E1075" i="1"/>
  <c r="D1077" i="1"/>
  <c r="A1079" i="1"/>
  <c r="A1081" i="1"/>
  <c r="D1083" i="1"/>
  <c r="G1085" i="1"/>
  <c r="F1087" i="1"/>
  <c r="C1089" i="1"/>
  <c r="C1091" i="1"/>
  <c r="C1093" i="1"/>
  <c r="H1094" i="1"/>
  <c r="C1097" i="1"/>
  <c r="D1099" i="1"/>
  <c r="E1101" i="1"/>
  <c r="G1102" i="1"/>
  <c r="G1104" i="1"/>
  <c r="H1106" i="1"/>
  <c r="C1109" i="1"/>
  <c r="A1111" i="1"/>
  <c r="B1113" i="1"/>
  <c r="C1115" i="1"/>
  <c r="F1117" i="1"/>
  <c r="B1119" i="1"/>
  <c r="B1121" i="1"/>
  <c r="C1123" i="1"/>
  <c r="E1125" i="1"/>
  <c r="H1126" i="1"/>
  <c r="C1129" i="1"/>
  <c r="D1131" i="1"/>
  <c r="G1132" i="1"/>
  <c r="D1134" i="1"/>
  <c r="E1136" i="1"/>
  <c r="F1138" i="1"/>
  <c r="D1140" i="1"/>
  <c r="F1142" i="1"/>
  <c r="F1144" i="1"/>
  <c r="E1146" i="1"/>
  <c r="F1148" i="1"/>
  <c r="B1151" i="1"/>
  <c r="H1152" i="1"/>
  <c r="G1154" i="1"/>
  <c r="F1156" i="1"/>
  <c r="A1159" i="1"/>
  <c r="G1160" i="1"/>
  <c r="D1162" i="1"/>
  <c r="G1164" i="1"/>
  <c r="A1167" i="1"/>
  <c r="H1168" i="1"/>
  <c r="D1170" i="1"/>
  <c r="A1173" i="1"/>
  <c r="B1175" i="1"/>
  <c r="E1176" i="1"/>
  <c r="E1178" i="1"/>
  <c r="B215" i="1"/>
  <c r="C215" i="1"/>
  <c r="D215" i="1"/>
  <c r="E215" i="1"/>
  <c r="F215" i="1"/>
  <c r="G215" i="1"/>
  <c r="H215" i="1"/>
  <c r="A216" i="1"/>
  <c r="B216" i="1"/>
  <c r="C216" i="1"/>
  <c r="D216" i="1"/>
  <c r="E216" i="1"/>
  <c r="F216" i="1"/>
  <c r="G216" i="1"/>
  <c r="H216" i="1"/>
  <c r="A217" i="1"/>
  <c r="B217" i="1"/>
  <c r="C217" i="1"/>
  <c r="D217" i="1"/>
  <c r="E217" i="1"/>
  <c r="F217" i="1"/>
  <c r="G217" i="1"/>
  <c r="H217" i="1"/>
  <c r="A218" i="1"/>
  <c r="B218" i="1"/>
  <c r="C218" i="1"/>
  <c r="D218" i="1"/>
  <c r="E218" i="1"/>
  <c r="F218" i="1"/>
  <c r="G218" i="1"/>
  <c r="H218" i="1"/>
  <c r="A219" i="1"/>
  <c r="B219" i="1"/>
  <c r="C219" i="1"/>
  <c r="D219" i="1"/>
  <c r="E219" i="1"/>
  <c r="F219" i="1"/>
  <c r="G219" i="1"/>
  <c r="H219" i="1"/>
  <c r="A220" i="1"/>
  <c r="B220" i="1"/>
  <c r="C220" i="1"/>
  <c r="D220" i="1"/>
  <c r="E220" i="1"/>
  <c r="F220" i="1"/>
  <c r="G220" i="1"/>
  <c r="H220" i="1"/>
  <c r="A221" i="1"/>
  <c r="B221" i="1"/>
  <c r="C221" i="1"/>
  <c r="D221" i="1"/>
  <c r="E221" i="1"/>
  <c r="F221" i="1"/>
  <c r="G221" i="1"/>
  <c r="H221" i="1"/>
  <c r="A222" i="1"/>
  <c r="B222" i="1"/>
  <c r="C222" i="1"/>
  <c r="D222" i="1"/>
  <c r="E222" i="1"/>
  <c r="F222" i="1"/>
  <c r="G222" i="1"/>
  <c r="H222" i="1"/>
  <c r="A223" i="1"/>
  <c r="B223" i="1"/>
  <c r="C223" i="1"/>
  <c r="D223" i="1"/>
  <c r="E223" i="1"/>
  <c r="F223" i="1"/>
  <c r="G223" i="1"/>
  <c r="H223" i="1"/>
  <c r="A224" i="1"/>
  <c r="B224" i="1"/>
  <c r="C224" i="1"/>
  <c r="D224" i="1"/>
  <c r="E224" i="1"/>
  <c r="F224" i="1"/>
  <c r="G224" i="1"/>
  <c r="H224" i="1"/>
  <c r="A225" i="1"/>
  <c r="B225" i="1"/>
  <c r="C225" i="1"/>
  <c r="D225" i="1"/>
  <c r="E225" i="1"/>
  <c r="F225" i="1"/>
  <c r="G225" i="1"/>
  <c r="H225" i="1"/>
  <c r="A226" i="1"/>
  <c r="B226" i="1"/>
  <c r="C226" i="1"/>
  <c r="D226" i="1"/>
  <c r="E226" i="1"/>
  <c r="F226" i="1"/>
  <c r="G226" i="1"/>
  <c r="H226" i="1"/>
  <c r="A227" i="1"/>
  <c r="B227" i="1"/>
  <c r="C227" i="1"/>
  <c r="D227" i="1"/>
  <c r="E227" i="1"/>
  <c r="F227" i="1"/>
  <c r="G227" i="1"/>
  <c r="H227" i="1"/>
  <c r="A228" i="1"/>
  <c r="B228" i="1"/>
  <c r="C228" i="1"/>
  <c r="D228" i="1"/>
  <c r="E228" i="1"/>
  <c r="F228" i="1"/>
  <c r="G228" i="1"/>
  <c r="H228" i="1"/>
  <c r="A229" i="1"/>
  <c r="B229" i="1"/>
  <c r="C229" i="1"/>
  <c r="D229" i="1"/>
  <c r="E229" i="1"/>
  <c r="F229" i="1"/>
  <c r="G229" i="1"/>
  <c r="H229" i="1"/>
  <c r="A230" i="1"/>
  <c r="B230" i="1"/>
  <c r="C230" i="1"/>
  <c r="D230" i="1"/>
  <c r="E230" i="1"/>
  <c r="F230" i="1"/>
  <c r="G230" i="1"/>
  <c r="H230" i="1"/>
  <c r="A231" i="1"/>
  <c r="B231" i="1"/>
  <c r="C231" i="1"/>
  <c r="D231" i="1"/>
  <c r="E231" i="1"/>
  <c r="F231" i="1"/>
  <c r="G231" i="1"/>
  <c r="H231" i="1"/>
  <c r="A232" i="1"/>
  <c r="B232" i="1"/>
  <c r="C232" i="1"/>
  <c r="D232" i="1"/>
  <c r="E232" i="1"/>
  <c r="F232" i="1"/>
  <c r="G232" i="1"/>
  <c r="H232" i="1"/>
  <c r="A233" i="1"/>
  <c r="B233" i="1"/>
  <c r="C233" i="1"/>
  <c r="D233" i="1"/>
  <c r="E233" i="1"/>
  <c r="F233" i="1"/>
  <c r="G233" i="1"/>
  <c r="H233" i="1"/>
  <c r="A234" i="1"/>
  <c r="B234" i="1"/>
  <c r="C234" i="1"/>
  <c r="D234" i="1"/>
  <c r="E234" i="1"/>
  <c r="F234" i="1"/>
  <c r="G234" i="1"/>
  <c r="H234" i="1"/>
  <c r="A235" i="1"/>
  <c r="B235" i="1"/>
  <c r="C235" i="1"/>
  <c r="D235" i="1"/>
  <c r="E235" i="1"/>
  <c r="F235" i="1"/>
  <c r="G235" i="1"/>
  <c r="H235" i="1"/>
  <c r="A236" i="1"/>
  <c r="B236" i="1"/>
  <c r="C236" i="1"/>
  <c r="D236" i="1"/>
  <c r="E236" i="1"/>
  <c r="F236" i="1"/>
  <c r="G236" i="1"/>
  <c r="H236" i="1"/>
  <c r="A237" i="1"/>
  <c r="B237" i="1"/>
  <c r="C237" i="1"/>
  <c r="D237" i="1"/>
  <c r="E237" i="1"/>
  <c r="F237" i="1"/>
  <c r="G237" i="1"/>
  <c r="H237" i="1"/>
  <c r="A238" i="1"/>
  <c r="B238" i="1"/>
  <c r="C238" i="1"/>
  <c r="D238" i="1"/>
  <c r="E238" i="1"/>
  <c r="F238" i="1"/>
  <c r="G238" i="1"/>
  <c r="H238" i="1"/>
  <c r="A239" i="1"/>
  <c r="B239" i="1"/>
  <c r="C239" i="1"/>
  <c r="D239" i="1"/>
  <c r="E239" i="1"/>
  <c r="F239" i="1"/>
  <c r="G239" i="1"/>
  <c r="H239" i="1"/>
  <c r="A240" i="1"/>
  <c r="B240" i="1"/>
  <c r="C240" i="1"/>
  <c r="D240" i="1"/>
  <c r="E240" i="1"/>
  <c r="F240" i="1"/>
  <c r="G240" i="1"/>
  <c r="H240" i="1"/>
  <c r="A241" i="1"/>
  <c r="B241" i="1"/>
  <c r="C241" i="1"/>
  <c r="D241" i="1"/>
  <c r="E241" i="1"/>
  <c r="F241" i="1"/>
  <c r="G241" i="1"/>
  <c r="H241" i="1"/>
  <c r="A242" i="1"/>
  <c r="B242" i="1"/>
  <c r="C242" i="1"/>
  <c r="D242" i="1"/>
  <c r="E242" i="1"/>
  <c r="F242" i="1"/>
  <c r="G242" i="1"/>
  <c r="H242" i="1"/>
  <c r="A243" i="1"/>
  <c r="B243" i="1"/>
  <c r="C243" i="1"/>
  <c r="D243" i="1"/>
  <c r="E243" i="1"/>
  <c r="F243" i="1"/>
  <c r="G243" i="1"/>
  <c r="H243" i="1"/>
  <c r="A244" i="1"/>
  <c r="B244" i="1"/>
  <c r="C244" i="1"/>
  <c r="D244" i="1"/>
  <c r="E244" i="1"/>
  <c r="F244" i="1"/>
  <c r="G244" i="1"/>
  <c r="H244" i="1"/>
  <c r="A245" i="1"/>
  <c r="B245" i="1"/>
  <c r="C245" i="1"/>
  <c r="D245" i="1"/>
  <c r="E245" i="1"/>
  <c r="F245" i="1"/>
  <c r="G245" i="1"/>
  <c r="H245" i="1"/>
  <c r="A246" i="1"/>
  <c r="B246" i="1"/>
  <c r="C246" i="1"/>
  <c r="D246" i="1"/>
  <c r="E246" i="1"/>
  <c r="F246" i="1"/>
  <c r="G246" i="1"/>
  <c r="H246" i="1"/>
  <c r="A247" i="1"/>
  <c r="B247" i="1"/>
  <c r="C247" i="1"/>
  <c r="D247" i="1"/>
  <c r="E247" i="1"/>
  <c r="F247" i="1"/>
  <c r="G247" i="1"/>
  <c r="H247" i="1"/>
  <c r="A248" i="1"/>
  <c r="B248" i="1"/>
  <c r="C248" i="1"/>
  <c r="D248" i="1"/>
  <c r="E248" i="1"/>
  <c r="F248" i="1"/>
  <c r="G248" i="1"/>
  <c r="H248" i="1"/>
  <c r="A249" i="1"/>
  <c r="B249" i="1"/>
  <c r="C249" i="1"/>
  <c r="D249" i="1"/>
  <c r="E249" i="1"/>
  <c r="F249" i="1"/>
  <c r="G249" i="1"/>
  <c r="H249" i="1"/>
  <c r="A250" i="1"/>
  <c r="B250" i="1"/>
  <c r="C250" i="1"/>
  <c r="D250" i="1"/>
  <c r="E250" i="1"/>
  <c r="F250" i="1"/>
  <c r="G250" i="1"/>
  <c r="H250" i="1"/>
  <c r="A251" i="1"/>
  <c r="B251" i="1"/>
  <c r="C251" i="1"/>
  <c r="D251" i="1"/>
  <c r="E251" i="1"/>
  <c r="F251" i="1"/>
  <c r="G251" i="1"/>
  <c r="H251" i="1"/>
  <c r="A252" i="1"/>
  <c r="B252" i="1"/>
  <c r="C252" i="1"/>
  <c r="D252" i="1"/>
  <c r="E252" i="1"/>
  <c r="F252" i="1"/>
  <c r="G252" i="1"/>
  <c r="H252" i="1"/>
  <c r="A253" i="1"/>
  <c r="B253" i="1"/>
  <c r="C253" i="1"/>
  <c r="D253" i="1"/>
  <c r="E253" i="1"/>
  <c r="F253" i="1"/>
  <c r="G253" i="1"/>
  <c r="H253" i="1"/>
  <c r="A254" i="1"/>
  <c r="B254" i="1"/>
  <c r="C254" i="1"/>
  <c r="D254" i="1"/>
  <c r="E254" i="1"/>
  <c r="F254" i="1"/>
  <c r="G254" i="1"/>
  <c r="H254" i="1"/>
  <c r="A255" i="1"/>
  <c r="B255" i="1"/>
  <c r="C255" i="1"/>
  <c r="D255" i="1"/>
  <c r="E255" i="1"/>
  <c r="F255" i="1"/>
  <c r="G255" i="1"/>
  <c r="H255" i="1"/>
  <c r="A256" i="1"/>
  <c r="B256" i="1"/>
  <c r="C256" i="1"/>
  <c r="D256" i="1"/>
  <c r="E256" i="1"/>
  <c r="F256" i="1"/>
  <c r="G256" i="1"/>
  <c r="H256" i="1"/>
  <c r="A257" i="1"/>
  <c r="B257" i="1"/>
  <c r="C257" i="1"/>
  <c r="D257" i="1"/>
  <c r="E257" i="1"/>
  <c r="F257" i="1"/>
  <c r="G257" i="1"/>
  <c r="H257" i="1"/>
  <c r="A258" i="1"/>
  <c r="B258" i="1"/>
  <c r="C258" i="1"/>
  <c r="D258" i="1"/>
  <c r="E258" i="1"/>
  <c r="F258" i="1"/>
  <c r="G258" i="1"/>
  <c r="H258" i="1"/>
  <c r="A259" i="1"/>
  <c r="B259" i="1"/>
  <c r="C259" i="1"/>
  <c r="D259" i="1"/>
  <c r="E259" i="1"/>
  <c r="F259" i="1"/>
  <c r="G259" i="1"/>
  <c r="H259" i="1"/>
  <c r="A260" i="1"/>
  <c r="B260" i="1"/>
  <c r="C260" i="1"/>
  <c r="D260" i="1"/>
  <c r="E260" i="1"/>
  <c r="F260" i="1"/>
  <c r="G260" i="1"/>
  <c r="H260" i="1"/>
  <c r="A261" i="1"/>
  <c r="D13" i="1"/>
  <c r="G20" i="1"/>
  <c r="E26" i="1"/>
  <c r="H28" i="1"/>
  <c r="F33" i="1"/>
  <c r="G36" i="1"/>
  <c r="F38" i="1"/>
  <c r="F39" i="1"/>
  <c r="G40" i="1"/>
  <c r="F42" i="1"/>
  <c r="G52" i="1"/>
  <c r="G61" i="1"/>
  <c r="D70" i="1"/>
  <c r="E72" i="1"/>
  <c r="H261" i="1"/>
  <c r="G263" i="1"/>
  <c r="H268" i="1"/>
  <c r="G269" i="1"/>
  <c r="F270" i="1"/>
  <c r="F271" i="1"/>
  <c r="G272" i="1"/>
  <c r="F274" i="1"/>
  <c r="C275" i="1"/>
  <c r="G281" i="1"/>
  <c r="G282" i="1"/>
  <c r="A284" i="1"/>
  <c r="B285" i="1"/>
  <c r="C288" i="1"/>
  <c r="F289" i="1"/>
  <c r="E290" i="1"/>
  <c r="G291" i="1"/>
  <c r="F294" i="1"/>
  <c r="B298" i="1"/>
  <c r="C299" i="1"/>
  <c r="A396" i="1"/>
  <c r="A397" i="1"/>
  <c r="F397" i="1"/>
  <c r="G398" i="1"/>
  <c r="B400" i="1"/>
  <c r="C400" i="1"/>
  <c r="D400" i="1"/>
  <c r="E400" i="1"/>
  <c r="F400" i="1"/>
  <c r="G400" i="1"/>
  <c r="H400" i="1"/>
  <c r="A401" i="1"/>
  <c r="B401" i="1"/>
  <c r="C401" i="1"/>
  <c r="D401" i="1"/>
  <c r="E401" i="1"/>
  <c r="F401" i="1"/>
  <c r="G401" i="1"/>
  <c r="H401" i="1"/>
  <c r="A402" i="1"/>
  <c r="B402" i="1"/>
  <c r="C402" i="1"/>
  <c r="D402" i="1"/>
  <c r="E402" i="1"/>
  <c r="F402" i="1"/>
  <c r="G402" i="1"/>
  <c r="H402" i="1"/>
  <c r="A403" i="1"/>
  <c r="B403" i="1"/>
  <c r="C403" i="1"/>
  <c r="D403" i="1"/>
  <c r="E403" i="1"/>
  <c r="F403" i="1"/>
  <c r="G403" i="1"/>
  <c r="H403" i="1"/>
  <c r="A404" i="1"/>
  <c r="B404" i="1"/>
  <c r="C404" i="1"/>
  <c r="D404" i="1"/>
  <c r="E404" i="1"/>
  <c r="F404" i="1"/>
  <c r="G404" i="1"/>
  <c r="H404" i="1"/>
  <c r="A405" i="1"/>
  <c r="B405" i="1"/>
  <c r="C405" i="1"/>
  <c r="D405" i="1"/>
  <c r="E405" i="1"/>
  <c r="F405" i="1"/>
  <c r="G405" i="1"/>
  <c r="H405" i="1"/>
  <c r="A406" i="1"/>
  <c r="B406" i="1"/>
  <c r="C406" i="1"/>
  <c r="D406" i="1"/>
  <c r="E406" i="1"/>
  <c r="F406" i="1"/>
  <c r="G406" i="1"/>
  <c r="H406" i="1"/>
  <c r="B407" i="1"/>
  <c r="D407" i="1"/>
  <c r="F407" i="1"/>
  <c r="A408" i="1"/>
  <c r="C408" i="1"/>
  <c r="E408" i="1"/>
  <c r="G408" i="1"/>
  <c r="B409" i="1"/>
  <c r="D409" i="1"/>
  <c r="F409" i="1"/>
  <c r="A410" i="1"/>
  <c r="C410" i="1"/>
  <c r="E410" i="1"/>
  <c r="H410" i="1"/>
  <c r="B411" i="1"/>
  <c r="D411" i="1"/>
  <c r="G411" i="1"/>
  <c r="A412" i="1"/>
  <c r="D412" i="1"/>
  <c r="F412" i="1"/>
  <c r="H412" i="1"/>
  <c r="C413" i="1"/>
  <c r="E413" i="1"/>
  <c r="G413" i="1"/>
  <c r="B414" i="1"/>
  <c r="D414" i="1"/>
  <c r="G414" i="1"/>
  <c r="A415" i="1"/>
  <c r="C415" i="1"/>
  <c r="F415" i="1"/>
  <c r="H415" i="1"/>
  <c r="C416" i="1"/>
  <c r="E416" i="1"/>
  <c r="G416" i="1"/>
  <c r="A417" i="1"/>
  <c r="D417" i="1"/>
  <c r="F417" i="1"/>
  <c r="B1062" i="1"/>
  <c r="G1063" i="1"/>
  <c r="B1065" i="1"/>
  <c r="A1067" i="1"/>
  <c r="H1035" i="1"/>
  <c r="B1038" i="1"/>
  <c r="C1044" i="1"/>
  <c r="H1047" i="1"/>
  <c r="B1050" i="1"/>
  <c r="H1052" i="1"/>
  <c r="E1055" i="1"/>
  <c r="B1058" i="1"/>
  <c r="B1061" i="1"/>
  <c r="H1063" i="1"/>
  <c r="F1066" i="1"/>
  <c r="H1069" i="1"/>
  <c r="D1072" i="1"/>
  <c r="B1075" i="1"/>
  <c r="F1077" i="1"/>
  <c r="C1080" i="1"/>
  <c r="H1082" i="1"/>
  <c r="E1085" i="1"/>
  <c r="B1088" i="1"/>
  <c r="A1091" i="1"/>
  <c r="E1093" i="1"/>
  <c r="D1096" i="1"/>
  <c r="A1099" i="1"/>
  <c r="A1102" i="1"/>
  <c r="F1104" i="1"/>
  <c r="D1107" i="1"/>
  <c r="C1110" i="1"/>
  <c r="F1112" i="1"/>
  <c r="E1115" i="1"/>
  <c r="B1118" i="1"/>
  <c r="F1120" i="1"/>
  <c r="E1123" i="1"/>
  <c r="H1125" i="1"/>
  <c r="A1129" i="1"/>
  <c r="F1131" i="1"/>
  <c r="H1133" i="1"/>
  <c r="C1136" i="1"/>
  <c r="B1139" i="1"/>
  <c r="H1141" i="1"/>
  <c r="C1144" i="1"/>
  <c r="C1147" i="1"/>
  <c r="H1149" i="1"/>
  <c r="F1152" i="1"/>
  <c r="C1155" i="1"/>
  <c r="C1158" i="1"/>
  <c r="A1161" i="1"/>
  <c r="H1163" i="1"/>
  <c r="B1166" i="1"/>
  <c r="D1169" i="1"/>
  <c r="F1171" i="1"/>
  <c r="F1174" i="1"/>
  <c r="F1177" i="1"/>
  <c r="H417" i="1"/>
  <c r="A418" i="1"/>
  <c r="B418" i="1"/>
  <c r="C418" i="1"/>
  <c r="D418" i="1"/>
  <c r="E418" i="1"/>
  <c r="F418" i="1"/>
  <c r="G418" i="1"/>
  <c r="H418" i="1"/>
  <c r="A419" i="1"/>
  <c r="B419" i="1"/>
  <c r="C419" i="1"/>
  <c r="D419" i="1"/>
  <c r="E419" i="1"/>
  <c r="F419" i="1"/>
  <c r="G419" i="1"/>
  <c r="H419" i="1"/>
  <c r="A420" i="1"/>
  <c r="B420" i="1"/>
  <c r="C420" i="1"/>
  <c r="D420" i="1"/>
  <c r="E420" i="1"/>
  <c r="F420" i="1"/>
  <c r="G420" i="1"/>
  <c r="H420" i="1"/>
  <c r="A421" i="1"/>
  <c r="B421" i="1"/>
  <c r="C421" i="1"/>
  <c r="D421" i="1"/>
  <c r="E421" i="1"/>
  <c r="F421" i="1"/>
  <c r="G421" i="1"/>
  <c r="H421" i="1"/>
  <c r="A422" i="1"/>
  <c r="B422" i="1"/>
  <c r="C422" i="1"/>
  <c r="D422" i="1"/>
  <c r="E422" i="1"/>
  <c r="F422" i="1"/>
  <c r="G422" i="1"/>
  <c r="H422" i="1"/>
  <c r="A423" i="1"/>
  <c r="B423" i="1"/>
  <c r="C423" i="1"/>
  <c r="D423" i="1"/>
  <c r="E423" i="1"/>
  <c r="F423" i="1"/>
  <c r="G423" i="1"/>
  <c r="H423" i="1"/>
  <c r="A424" i="1"/>
  <c r="B424" i="1"/>
  <c r="C424" i="1"/>
  <c r="D424" i="1"/>
  <c r="E424" i="1"/>
  <c r="F424" i="1"/>
  <c r="G424" i="1"/>
  <c r="H424" i="1"/>
  <c r="A425" i="1"/>
  <c r="B425" i="1"/>
  <c r="C425" i="1"/>
  <c r="D425" i="1"/>
  <c r="E425" i="1"/>
  <c r="F425" i="1"/>
  <c r="G425" i="1"/>
  <c r="H425" i="1"/>
  <c r="A426" i="1"/>
  <c r="B426" i="1"/>
  <c r="C426" i="1"/>
  <c r="D426" i="1"/>
  <c r="E426" i="1"/>
  <c r="F426" i="1"/>
  <c r="G426" i="1"/>
  <c r="H426" i="1"/>
  <c r="A427" i="1"/>
  <c r="B427" i="1"/>
  <c r="C427" i="1"/>
  <c r="D427" i="1"/>
  <c r="E427" i="1"/>
  <c r="F427" i="1"/>
  <c r="G427" i="1"/>
  <c r="H427" i="1"/>
  <c r="A428" i="1"/>
  <c r="B428" i="1"/>
  <c r="C428" i="1"/>
  <c r="D428" i="1"/>
  <c r="E428" i="1"/>
  <c r="F428" i="1"/>
  <c r="G428" i="1"/>
  <c r="H428" i="1"/>
  <c r="A429" i="1"/>
  <c r="B429" i="1"/>
  <c r="C429" i="1"/>
  <c r="D429" i="1"/>
  <c r="E429" i="1"/>
  <c r="F429" i="1"/>
  <c r="G429" i="1"/>
  <c r="H429" i="1"/>
  <c r="A430" i="1"/>
  <c r="B430" i="1"/>
  <c r="C430" i="1"/>
  <c r="D430" i="1"/>
  <c r="E430" i="1"/>
  <c r="F430" i="1"/>
  <c r="G430" i="1"/>
  <c r="H430" i="1"/>
  <c r="A431" i="1"/>
  <c r="B431" i="1"/>
  <c r="C431" i="1"/>
  <c r="D431" i="1"/>
  <c r="E431" i="1"/>
  <c r="F431" i="1"/>
  <c r="G431" i="1"/>
  <c r="H431" i="1"/>
  <c r="A432" i="1"/>
  <c r="B432" i="1"/>
  <c r="C432" i="1"/>
  <c r="D432" i="1"/>
  <c r="E432" i="1"/>
  <c r="F432" i="1"/>
  <c r="G432" i="1"/>
  <c r="H432" i="1"/>
  <c r="A433" i="1"/>
  <c r="B433" i="1"/>
  <c r="C433" i="1"/>
  <c r="D433" i="1"/>
  <c r="E433" i="1"/>
  <c r="F433" i="1"/>
  <c r="G433" i="1"/>
  <c r="H433" i="1"/>
  <c r="A434" i="1"/>
  <c r="B434" i="1"/>
  <c r="C434" i="1"/>
  <c r="D434" i="1"/>
  <c r="E434" i="1"/>
  <c r="F434" i="1"/>
  <c r="G434" i="1"/>
  <c r="H434" i="1"/>
  <c r="A435" i="1"/>
  <c r="B435" i="1"/>
  <c r="C435" i="1"/>
  <c r="D435" i="1"/>
  <c r="E435" i="1"/>
  <c r="F435" i="1"/>
  <c r="G435" i="1"/>
  <c r="H435" i="1"/>
  <c r="A436" i="1"/>
  <c r="B436" i="1"/>
  <c r="C436" i="1"/>
  <c r="D436" i="1"/>
  <c r="E436" i="1"/>
  <c r="F436" i="1"/>
  <c r="G436" i="1"/>
  <c r="H436" i="1"/>
  <c r="A437" i="1"/>
  <c r="B437" i="1"/>
  <c r="C437" i="1"/>
  <c r="D437" i="1"/>
  <c r="E437" i="1"/>
  <c r="F437" i="1"/>
  <c r="G437" i="1"/>
  <c r="H437" i="1"/>
  <c r="A438" i="1"/>
  <c r="B438" i="1"/>
  <c r="C438" i="1"/>
  <c r="D438" i="1"/>
  <c r="E438" i="1"/>
  <c r="F438" i="1"/>
  <c r="G438" i="1"/>
  <c r="H438" i="1"/>
  <c r="A439" i="1"/>
  <c r="B439" i="1"/>
  <c r="C439" i="1"/>
  <c r="D439" i="1"/>
  <c r="E439" i="1"/>
  <c r="F439" i="1"/>
  <c r="G439" i="1"/>
  <c r="H439" i="1"/>
  <c r="A440" i="1"/>
  <c r="B440" i="1"/>
  <c r="C440" i="1"/>
  <c r="D440" i="1"/>
  <c r="E440" i="1"/>
  <c r="F440" i="1"/>
  <c r="G440" i="1"/>
  <c r="H440" i="1"/>
  <c r="A441" i="1"/>
  <c r="B441" i="1"/>
  <c r="C441" i="1"/>
  <c r="D441" i="1"/>
  <c r="E441" i="1"/>
  <c r="F441" i="1"/>
  <c r="G441" i="1"/>
  <c r="H441" i="1"/>
  <c r="A442" i="1"/>
  <c r="B442" i="1"/>
  <c r="C442" i="1"/>
  <c r="D442" i="1"/>
  <c r="E442" i="1"/>
  <c r="F442" i="1"/>
  <c r="G442" i="1"/>
  <c r="H442" i="1"/>
  <c r="A443" i="1"/>
  <c r="B443" i="1"/>
  <c r="C443" i="1"/>
  <c r="D443" i="1"/>
  <c r="E443" i="1"/>
  <c r="F443" i="1"/>
  <c r="G443" i="1"/>
  <c r="H443" i="1"/>
  <c r="A444" i="1"/>
  <c r="B444" i="1"/>
  <c r="C444" i="1"/>
  <c r="D444" i="1"/>
  <c r="E444" i="1"/>
  <c r="F444" i="1"/>
  <c r="G444" i="1"/>
  <c r="H444" i="1"/>
  <c r="A445" i="1"/>
  <c r="B445" i="1"/>
  <c r="C445" i="1"/>
  <c r="D445" i="1"/>
  <c r="E445" i="1"/>
  <c r="F445" i="1"/>
  <c r="G445" i="1"/>
  <c r="H445" i="1"/>
  <c r="E456" i="1"/>
  <c r="F456" i="1"/>
  <c r="G456" i="1"/>
  <c r="H456" i="1"/>
  <c r="A457" i="1"/>
  <c r="B457" i="1"/>
  <c r="C457" i="1"/>
  <c r="D457" i="1"/>
  <c r="E457" i="1"/>
  <c r="F457" i="1"/>
  <c r="G457" i="1"/>
  <c r="H457" i="1"/>
  <c r="A458" i="1"/>
  <c r="B458" i="1"/>
  <c r="C458" i="1"/>
  <c r="D458" i="1"/>
  <c r="E458" i="1"/>
  <c r="F458" i="1"/>
  <c r="G458" i="1"/>
  <c r="H458" i="1"/>
  <c r="A459" i="1"/>
  <c r="B459" i="1"/>
  <c r="C459" i="1"/>
  <c r="D459" i="1"/>
  <c r="E459" i="1"/>
  <c r="F459" i="1"/>
  <c r="G459" i="1"/>
  <c r="H459" i="1"/>
  <c r="A460" i="1"/>
  <c r="B460" i="1"/>
  <c r="C460" i="1"/>
  <c r="D460" i="1"/>
  <c r="E460" i="1"/>
  <c r="F460" i="1"/>
  <c r="G460" i="1"/>
  <c r="H460" i="1"/>
  <c r="A461" i="1"/>
  <c r="B461" i="1"/>
  <c r="C461" i="1"/>
  <c r="D461" i="1"/>
  <c r="E461" i="1"/>
  <c r="F461" i="1"/>
  <c r="G461" i="1"/>
  <c r="H461" i="1"/>
  <c r="A462" i="1"/>
  <c r="B462" i="1"/>
  <c r="C462" i="1"/>
  <c r="D462" i="1"/>
  <c r="E462" i="1"/>
  <c r="F462" i="1"/>
  <c r="G462" i="1"/>
  <c r="H462" i="1"/>
  <c r="A463" i="1"/>
  <c r="B463" i="1"/>
  <c r="C463" i="1"/>
  <c r="D463" i="1"/>
  <c r="E463" i="1"/>
  <c r="F463" i="1"/>
  <c r="G463" i="1"/>
  <c r="H463" i="1"/>
  <c r="A464" i="1"/>
  <c r="B464" i="1"/>
  <c r="C464" i="1"/>
  <c r="D464" i="1"/>
  <c r="E464" i="1"/>
  <c r="F464" i="1"/>
  <c r="G464" i="1"/>
  <c r="H464" i="1"/>
  <c r="A465" i="1"/>
  <c r="B465" i="1"/>
  <c r="C465" i="1"/>
  <c r="D465" i="1"/>
  <c r="E465" i="1"/>
  <c r="F465" i="1"/>
  <c r="G465" i="1"/>
  <c r="H465" i="1"/>
  <c r="A466" i="1"/>
  <c r="B466" i="1"/>
  <c r="C466" i="1"/>
  <c r="D466" i="1"/>
  <c r="E466" i="1"/>
  <c r="F466" i="1"/>
  <c r="G466" i="1"/>
  <c r="H466" i="1"/>
  <c r="A467" i="1"/>
  <c r="B467" i="1"/>
  <c r="C467" i="1"/>
  <c r="D467" i="1"/>
  <c r="E467" i="1"/>
  <c r="F467" i="1"/>
  <c r="G467" i="1"/>
  <c r="H467" i="1"/>
  <c r="A468" i="1"/>
  <c r="B468" i="1"/>
  <c r="C468" i="1"/>
  <c r="D468" i="1"/>
  <c r="E468" i="1"/>
  <c r="F468" i="1"/>
  <c r="G468" i="1"/>
  <c r="H468" i="1"/>
  <c r="A469" i="1"/>
  <c r="B469" i="1"/>
  <c r="C469" i="1"/>
  <c r="D469" i="1"/>
  <c r="E469" i="1"/>
  <c r="F469" i="1"/>
  <c r="G469" i="1"/>
  <c r="H469" i="1"/>
  <c r="A470" i="1"/>
  <c r="B470" i="1"/>
  <c r="C470" i="1"/>
  <c r="D470" i="1"/>
  <c r="E470" i="1"/>
  <c r="F470" i="1"/>
  <c r="G470" i="1"/>
  <c r="H470" i="1"/>
  <c r="A471" i="1"/>
  <c r="B471" i="1"/>
  <c r="C471" i="1"/>
  <c r="D471" i="1"/>
  <c r="E471" i="1"/>
  <c r="F471" i="1"/>
  <c r="G471" i="1"/>
  <c r="H471" i="1"/>
  <c r="A472" i="1"/>
  <c r="B472" i="1"/>
  <c r="C472" i="1"/>
  <c r="D472" i="1"/>
  <c r="E472" i="1"/>
  <c r="F472" i="1"/>
  <c r="G472" i="1"/>
  <c r="H472" i="1"/>
  <c r="A473" i="1"/>
  <c r="B473" i="1"/>
  <c r="C473" i="1"/>
  <c r="D473" i="1"/>
  <c r="E473" i="1"/>
  <c r="F473" i="1"/>
  <c r="G473" i="1"/>
  <c r="H473" i="1"/>
  <c r="A474" i="1"/>
  <c r="B474" i="1"/>
  <c r="C474" i="1"/>
  <c r="D474" i="1"/>
  <c r="E474" i="1"/>
  <c r="F474" i="1"/>
  <c r="G474" i="1"/>
  <c r="H474" i="1"/>
  <c r="A475" i="1"/>
  <c r="B475" i="1"/>
  <c r="C475" i="1"/>
  <c r="D475" i="1"/>
  <c r="E475" i="1"/>
  <c r="F475" i="1"/>
  <c r="G475" i="1"/>
  <c r="H475" i="1"/>
  <c r="A476" i="1"/>
  <c r="B476" i="1"/>
  <c r="C476" i="1"/>
  <c r="D476" i="1"/>
  <c r="E476" i="1"/>
  <c r="F476" i="1"/>
  <c r="G476" i="1"/>
  <c r="H476" i="1"/>
  <c r="A477" i="1"/>
  <c r="B477" i="1"/>
  <c r="C477" i="1"/>
  <c r="D477" i="1"/>
  <c r="E477" i="1"/>
  <c r="F477" i="1"/>
  <c r="G477" i="1"/>
  <c r="H477" i="1"/>
  <c r="A478" i="1"/>
  <c r="B478" i="1"/>
  <c r="C478" i="1"/>
  <c r="D478" i="1"/>
  <c r="E478" i="1"/>
  <c r="F478" i="1"/>
  <c r="G478" i="1"/>
  <c r="H478" i="1"/>
  <c r="A479" i="1"/>
  <c r="B479" i="1"/>
  <c r="C479" i="1"/>
  <c r="D479" i="1"/>
  <c r="E479" i="1"/>
  <c r="F479" i="1"/>
  <c r="G479" i="1"/>
  <c r="H479" i="1"/>
  <c r="A480" i="1"/>
  <c r="B480" i="1"/>
  <c r="C480" i="1"/>
  <c r="D480" i="1"/>
  <c r="E480" i="1"/>
  <c r="F480" i="1"/>
  <c r="G480" i="1"/>
  <c r="H480" i="1"/>
  <c r="A481" i="1"/>
  <c r="B481" i="1"/>
  <c r="C481" i="1"/>
  <c r="D481" i="1"/>
  <c r="E481" i="1"/>
  <c r="F481" i="1"/>
  <c r="G481" i="1"/>
  <c r="H481" i="1"/>
  <c r="A482" i="1"/>
  <c r="B482" i="1"/>
  <c r="C482" i="1"/>
  <c r="D482" i="1"/>
  <c r="E482" i="1"/>
  <c r="F482" i="1"/>
  <c r="G482" i="1"/>
  <c r="H482" i="1"/>
  <c r="A483" i="1"/>
  <c r="B483" i="1"/>
  <c r="C483" i="1"/>
  <c r="D483" i="1"/>
  <c r="E483" i="1"/>
  <c r="F483" i="1"/>
  <c r="G483" i="1"/>
  <c r="H483" i="1"/>
  <c r="A484" i="1"/>
  <c r="B484" i="1"/>
  <c r="C484" i="1"/>
  <c r="D484" i="1"/>
  <c r="E484" i="1"/>
  <c r="F484" i="1"/>
  <c r="G484" i="1"/>
  <c r="H484" i="1"/>
  <c r="A485" i="1"/>
  <c r="B485" i="1"/>
  <c r="C485" i="1"/>
  <c r="D485" i="1"/>
  <c r="E485" i="1"/>
  <c r="F485" i="1"/>
  <c r="G485" i="1"/>
  <c r="H485" i="1"/>
  <c r="A486" i="1"/>
  <c r="B486" i="1"/>
  <c r="C486" i="1"/>
  <c r="E1049" i="1"/>
  <c r="C1050" i="1"/>
  <c r="C1051" i="1"/>
  <c r="C1052" i="1"/>
  <c r="C1053" i="1"/>
  <c r="B1054" i="1"/>
  <c r="F1054" i="1"/>
  <c r="F1055" i="1"/>
  <c r="E1056" i="1"/>
  <c r="E1057" i="1"/>
  <c r="C1058" i="1"/>
  <c r="A1059" i="1"/>
  <c r="H1059" i="1"/>
  <c r="F1060" i="1"/>
  <c r="F1061" i="1"/>
  <c r="G1062" i="1"/>
  <c r="A1064" i="1"/>
  <c r="C1065" i="1"/>
  <c r="E1066" i="1"/>
  <c r="H1034" i="1"/>
  <c r="H1036" i="1"/>
  <c r="C1043" i="1"/>
  <c r="E1045" i="1"/>
  <c r="C1047" i="1"/>
  <c r="D1049" i="1"/>
  <c r="B1051" i="1"/>
  <c r="D1053" i="1"/>
  <c r="G1055" i="1"/>
  <c r="F1057" i="1"/>
  <c r="B1060" i="1"/>
  <c r="A1062" i="1"/>
  <c r="G1064" i="1"/>
  <c r="B1067" i="1"/>
  <c r="E1069" i="1"/>
  <c r="E1071" i="1"/>
  <c r="D1073" i="1"/>
  <c r="G1075" i="1"/>
  <c r="A1078" i="1"/>
  <c r="A1080" i="1"/>
  <c r="G1081" i="1"/>
  <c r="H1083" i="1"/>
  <c r="B1086" i="1"/>
  <c r="E1088" i="1"/>
  <c r="E1090" i="1"/>
  <c r="A1092" i="1"/>
  <c r="F1094" i="1"/>
  <c r="G1096" i="1"/>
  <c r="G1098" i="1"/>
  <c r="C1101" i="1"/>
  <c r="A1103" i="1"/>
  <c r="C1105" i="1"/>
  <c r="F1107" i="1"/>
  <c r="H1109" i="1"/>
  <c r="B1112" i="1"/>
  <c r="G1113" i="1"/>
  <c r="H1115" i="1"/>
  <c r="H1117" i="1"/>
  <c r="A1120" i="1"/>
  <c r="B1122" i="1"/>
  <c r="A1124" i="1"/>
  <c r="F1126" i="1"/>
  <c r="F1128" i="1"/>
  <c r="B1131" i="1"/>
  <c r="F1132" i="1"/>
  <c r="F1134" i="1"/>
  <c r="G1136" i="1"/>
  <c r="C1139" i="1"/>
  <c r="F1141" i="1"/>
  <c r="C1143" i="1"/>
  <c r="E1145" i="1"/>
  <c r="B1148" i="1"/>
  <c r="F1150" i="1"/>
  <c r="D1152" i="1"/>
  <c r="A1155" i="1"/>
  <c r="H1156" i="1"/>
  <c r="C1159" i="1"/>
  <c r="E1161" i="1"/>
  <c r="F1163" i="1"/>
  <c r="C1165" i="1"/>
  <c r="E1167" i="1"/>
  <c r="H1169" i="1"/>
  <c r="B1172" i="1"/>
  <c r="D1174" i="1"/>
  <c r="A1176" i="1"/>
  <c r="G1178" i="1"/>
  <c r="D486" i="1"/>
  <c r="E486" i="1"/>
  <c r="F486" i="1"/>
  <c r="G486" i="1"/>
  <c r="H486" i="1"/>
  <c r="A487" i="1"/>
  <c r="B487" i="1"/>
  <c r="C487" i="1"/>
  <c r="D487" i="1"/>
  <c r="E487" i="1"/>
  <c r="F487" i="1"/>
  <c r="G487" i="1"/>
  <c r="H487" i="1"/>
  <c r="A488" i="1"/>
  <c r="B488" i="1"/>
  <c r="C488" i="1"/>
  <c r="D488" i="1"/>
  <c r="E488" i="1"/>
  <c r="F488" i="1"/>
  <c r="G488" i="1"/>
  <c r="H488" i="1"/>
  <c r="A489" i="1"/>
  <c r="B489" i="1"/>
  <c r="C489" i="1"/>
  <c r="D489" i="1"/>
  <c r="E489" i="1"/>
  <c r="F489" i="1"/>
  <c r="G489" i="1"/>
  <c r="H489" i="1"/>
  <c r="A490" i="1"/>
  <c r="B490" i="1"/>
  <c r="C490" i="1"/>
  <c r="D490" i="1"/>
  <c r="E490" i="1"/>
  <c r="F490" i="1"/>
  <c r="G490" i="1"/>
  <c r="H490" i="1"/>
  <c r="A491" i="1"/>
  <c r="B491" i="1"/>
  <c r="C491" i="1"/>
  <c r="D491" i="1"/>
  <c r="E491" i="1"/>
  <c r="F491" i="1"/>
  <c r="G491" i="1"/>
  <c r="H491" i="1"/>
  <c r="A492" i="1"/>
  <c r="B492" i="1"/>
  <c r="C492" i="1"/>
  <c r="D492" i="1"/>
  <c r="E492" i="1"/>
  <c r="F492" i="1"/>
  <c r="G492" i="1"/>
  <c r="H492" i="1"/>
  <c r="A493" i="1"/>
  <c r="B493" i="1"/>
  <c r="C493" i="1"/>
  <c r="D493" i="1"/>
  <c r="E493" i="1"/>
  <c r="F493" i="1"/>
  <c r="G493" i="1"/>
  <c r="H493" i="1"/>
  <c r="A494" i="1"/>
  <c r="B494" i="1"/>
  <c r="C494" i="1"/>
  <c r="D494" i="1"/>
  <c r="E494" i="1"/>
  <c r="F494" i="1"/>
  <c r="G494" i="1"/>
  <c r="H494" i="1"/>
  <c r="A495" i="1"/>
  <c r="B495" i="1"/>
  <c r="C495" i="1"/>
  <c r="D495" i="1"/>
  <c r="E495" i="1"/>
  <c r="F495" i="1"/>
  <c r="G495" i="1"/>
  <c r="H495" i="1"/>
  <c r="A496" i="1"/>
  <c r="B496" i="1"/>
  <c r="C496" i="1"/>
  <c r="D496" i="1"/>
  <c r="E496" i="1"/>
  <c r="F496" i="1"/>
  <c r="G496" i="1"/>
  <c r="H496" i="1"/>
  <c r="A497" i="1"/>
  <c r="B497" i="1"/>
  <c r="C497" i="1"/>
  <c r="D497" i="1"/>
  <c r="E497" i="1"/>
  <c r="F497" i="1"/>
  <c r="G497" i="1"/>
  <c r="H497" i="1"/>
  <c r="A498" i="1"/>
  <c r="B498" i="1"/>
  <c r="C498" i="1"/>
  <c r="D498" i="1"/>
  <c r="E498" i="1"/>
  <c r="F498" i="1"/>
  <c r="G498" i="1"/>
  <c r="H498" i="1"/>
  <c r="A499" i="1"/>
  <c r="B499" i="1"/>
  <c r="C499" i="1"/>
  <c r="D499" i="1"/>
  <c r="E499" i="1"/>
  <c r="F499" i="1"/>
  <c r="G499" i="1"/>
  <c r="H499" i="1"/>
  <c r="A500" i="1"/>
  <c r="B500" i="1"/>
  <c r="C500" i="1"/>
  <c r="D500" i="1"/>
  <c r="E500" i="1"/>
  <c r="F500" i="1"/>
  <c r="G500" i="1"/>
  <c r="H500" i="1"/>
  <c r="A501" i="1"/>
  <c r="B501" i="1"/>
  <c r="C501" i="1"/>
  <c r="D501" i="1"/>
  <c r="E501" i="1"/>
  <c r="F501" i="1"/>
  <c r="G501" i="1"/>
  <c r="H501" i="1"/>
  <c r="A502" i="1"/>
  <c r="B502" i="1"/>
  <c r="C502" i="1"/>
  <c r="D502" i="1"/>
  <c r="E502" i="1"/>
  <c r="F502" i="1"/>
  <c r="G502" i="1"/>
  <c r="H502" i="1"/>
  <c r="A503" i="1"/>
  <c r="B503" i="1"/>
  <c r="C503" i="1"/>
  <c r="D503" i="1"/>
  <c r="E503" i="1"/>
  <c r="F503" i="1"/>
  <c r="G503" i="1"/>
  <c r="H503" i="1"/>
  <c r="A504" i="1"/>
  <c r="B504" i="1"/>
  <c r="C504" i="1"/>
  <c r="D504" i="1"/>
  <c r="E504" i="1"/>
  <c r="F504" i="1"/>
  <c r="G504" i="1"/>
  <c r="H504" i="1"/>
  <c r="A505" i="1"/>
  <c r="B505" i="1"/>
  <c r="C505" i="1"/>
  <c r="D505" i="1"/>
  <c r="E505" i="1"/>
  <c r="F505" i="1"/>
  <c r="G505" i="1"/>
  <c r="H505" i="1"/>
  <c r="A506" i="1"/>
  <c r="B506" i="1"/>
  <c r="C506" i="1"/>
  <c r="D506" i="1"/>
  <c r="E506" i="1"/>
  <c r="F506" i="1"/>
  <c r="G506" i="1"/>
  <c r="H506" i="1"/>
  <c r="A507" i="1"/>
  <c r="B507" i="1"/>
  <c r="C507" i="1"/>
  <c r="D507" i="1"/>
  <c r="E507" i="1"/>
  <c r="F507" i="1"/>
  <c r="G507" i="1"/>
  <c r="H507" i="1"/>
  <c r="A508" i="1"/>
  <c r="B508" i="1"/>
  <c r="C508" i="1"/>
  <c r="D508" i="1"/>
  <c r="E508" i="1"/>
  <c r="F508" i="1"/>
  <c r="G508" i="1"/>
  <c r="H508" i="1"/>
  <c r="A509" i="1"/>
  <c r="B509" i="1"/>
  <c r="C509" i="1"/>
  <c r="D509" i="1"/>
  <c r="E509" i="1"/>
  <c r="F509" i="1"/>
  <c r="G509" i="1"/>
  <c r="H509" i="1"/>
  <c r="A510" i="1"/>
  <c r="B510" i="1"/>
  <c r="C510" i="1"/>
  <c r="D510" i="1"/>
  <c r="E510" i="1"/>
  <c r="F510" i="1"/>
  <c r="G510" i="1"/>
  <c r="H510" i="1"/>
  <c r="A511" i="1"/>
  <c r="B511" i="1"/>
  <c r="C511" i="1"/>
  <c r="D511" i="1"/>
  <c r="E511" i="1"/>
  <c r="F511" i="1"/>
  <c r="G511" i="1"/>
  <c r="H511" i="1"/>
  <c r="A512" i="1"/>
  <c r="B512" i="1"/>
  <c r="C512" i="1"/>
  <c r="D512" i="1"/>
  <c r="E512" i="1"/>
  <c r="F512" i="1"/>
  <c r="G512" i="1"/>
  <c r="H512" i="1"/>
  <c r="A513" i="1"/>
  <c r="B513" i="1"/>
  <c r="C513" i="1"/>
  <c r="D513" i="1"/>
  <c r="E513" i="1"/>
  <c r="F513" i="1"/>
  <c r="G513" i="1"/>
  <c r="H513" i="1"/>
  <c r="A514" i="1"/>
  <c r="B514" i="1"/>
  <c r="C514" i="1"/>
  <c r="D514" i="1"/>
  <c r="E514" i="1"/>
  <c r="F16" i="1"/>
  <c r="F17" i="1"/>
  <c r="F18" i="1"/>
  <c r="G26" i="1"/>
  <c r="B29" i="1"/>
  <c r="G30" i="1"/>
  <c r="A32" i="1"/>
  <c r="F37" i="1"/>
  <c r="G38" i="1"/>
  <c r="G44" i="1"/>
  <c r="F51" i="1"/>
  <c r="F61" i="1"/>
  <c r="F67" i="1"/>
  <c r="F69" i="1"/>
  <c r="A71" i="1"/>
  <c r="D261" i="1"/>
  <c r="G262" i="1"/>
  <c r="E263" i="1"/>
  <c r="G268" i="1"/>
  <c r="H269" i="1"/>
  <c r="B271" i="1"/>
  <c r="C272" i="1"/>
  <c r="F275" i="1"/>
  <c r="H276" i="1"/>
  <c r="B279" i="1"/>
  <c r="H282" i="1"/>
  <c r="H284" i="1"/>
  <c r="D292" i="1"/>
  <c r="G293" i="1"/>
  <c r="G294" i="1"/>
  <c r="A297" i="1"/>
  <c r="D298" i="1"/>
  <c r="B299" i="1"/>
  <c r="G299" i="1"/>
  <c r="G305" i="1"/>
  <c r="F306" i="1"/>
  <c r="B309" i="1"/>
  <c r="E311" i="1"/>
  <c r="E316" i="1"/>
  <c r="G320" i="1"/>
  <c r="H322" i="1"/>
  <c r="G324" i="1"/>
  <c r="F325" i="1"/>
  <c r="F326" i="1"/>
  <c r="C327" i="1"/>
  <c r="A328" i="1"/>
  <c r="G328" i="1"/>
  <c r="F329" i="1"/>
  <c r="C332" i="1"/>
  <c r="B333" i="1"/>
  <c r="C334" i="1"/>
  <c r="D337" i="1"/>
  <c r="C338" i="1"/>
  <c r="G342" i="1"/>
  <c r="F343" i="1"/>
  <c r="H353" i="1"/>
  <c r="G354" i="1"/>
  <c r="D360" i="1"/>
  <c r="C362" i="1"/>
  <c r="A365" i="1"/>
  <c r="H365" i="1"/>
  <c r="D368" i="1"/>
  <c r="E373" i="1"/>
  <c r="C376" i="1"/>
  <c r="A378" i="1"/>
  <c r="H378" i="1"/>
  <c r="A381" i="1"/>
  <c r="G381" i="1"/>
  <c r="H382" i="1"/>
  <c r="D384" i="1"/>
  <c r="D387" i="1"/>
  <c r="E388" i="1"/>
  <c r="B393" i="1"/>
  <c r="E395" i="1"/>
  <c r="C396" i="1"/>
  <c r="B397" i="1"/>
  <c r="B398" i="1"/>
  <c r="E399" i="1"/>
  <c r="G514" i="1"/>
  <c r="H516" i="1"/>
  <c r="A518" i="1"/>
  <c r="B519" i="1"/>
  <c r="B520" i="1"/>
  <c r="B522" i="1"/>
  <c r="F523" i="1"/>
  <c r="G524" i="1"/>
  <c r="H525" i="1"/>
  <c r="A527" i="1"/>
  <c r="B528" i="1"/>
  <c r="E529" i="1"/>
  <c r="C530" i="1"/>
  <c r="E531" i="1"/>
  <c r="D533" i="1"/>
  <c r="F534" i="1"/>
  <c r="G535" i="1"/>
  <c r="F536" i="1"/>
  <c r="G537" i="1"/>
  <c r="H538" i="1"/>
  <c r="H540" i="1"/>
  <c r="E541" i="1"/>
  <c r="B543" i="1"/>
  <c r="C546" i="1"/>
  <c r="C960" i="1"/>
  <c r="D960" i="1"/>
  <c r="E960" i="1"/>
  <c r="F960" i="1"/>
  <c r="G960" i="1"/>
  <c r="H960" i="1"/>
  <c r="A961" i="1"/>
  <c r="B961" i="1"/>
  <c r="C961" i="1"/>
  <c r="D961" i="1"/>
  <c r="E961" i="1"/>
  <c r="F961" i="1"/>
  <c r="G961" i="1"/>
  <c r="H961" i="1"/>
  <c r="A962" i="1"/>
  <c r="B962" i="1"/>
  <c r="C962" i="1"/>
  <c r="D962" i="1"/>
  <c r="E962" i="1"/>
  <c r="F962" i="1"/>
  <c r="G962" i="1"/>
  <c r="H962" i="1"/>
  <c r="A963" i="1"/>
  <c r="B963" i="1"/>
  <c r="C963" i="1"/>
  <c r="D963" i="1"/>
  <c r="E963" i="1"/>
  <c r="F963" i="1"/>
  <c r="G963" i="1"/>
  <c r="H963" i="1"/>
  <c r="A964" i="1"/>
  <c r="B964" i="1"/>
  <c r="C964" i="1"/>
  <c r="D964" i="1"/>
  <c r="E964" i="1"/>
  <c r="F964" i="1"/>
  <c r="G964" i="1"/>
  <c r="H964" i="1"/>
  <c r="A965" i="1"/>
  <c r="B965" i="1"/>
  <c r="C965" i="1"/>
  <c r="D965" i="1"/>
  <c r="E965" i="1"/>
  <c r="F965" i="1"/>
  <c r="G965" i="1"/>
  <c r="H965" i="1"/>
  <c r="A966" i="1"/>
  <c r="B966" i="1"/>
  <c r="C966" i="1"/>
  <c r="D966" i="1"/>
  <c r="E966" i="1"/>
  <c r="F966" i="1"/>
  <c r="G966" i="1"/>
  <c r="H966" i="1"/>
  <c r="A967" i="1"/>
  <c r="B967" i="1"/>
  <c r="C967" i="1"/>
  <c r="D967" i="1"/>
  <c r="E967" i="1"/>
  <c r="F967" i="1"/>
  <c r="G967" i="1"/>
  <c r="H967" i="1"/>
  <c r="A968" i="1"/>
  <c r="B968" i="1"/>
  <c r="C968" i="1"/>
  <c r="D968" i="1"/>
  <c r="E968" i="1"/>
  <c r="F968" i="1"/>
  <c r="G968" i="1"/>
  <c r="H968" i="1"/>
  <c r="A969" i="1"/>
  <c r="B969" i="1"/>
  <c r="C969" i="1"/>
  <c r="D969" i="1"/>
  <c r="E969" i="1"/>
  <c r="F969" i="1"/>
  <c r="G969" i="1"/>
  <c r="H969" i="1"/>
  <c r="A970" i="1"/>
  <c r="B970" i="1"/>
  <c r="C970" i="1"/>
  <c r="D970" i="1"/>
  <c r="E970" i="1"/>
  <c r="F970" i="1"/>
  <c r="G970" i="1"/>
  <c r="H970" i="1"/>
  <c r="A971" i="1"/>
  <c r="B971" i="1"/>
  <c r="C971" i="1"/>
  <c r="D971" i="1"/>
  <c r="E971" i="1"/>
  <c r="F971" i="1"/>
  <c r="G971" i="1"/>
  <c r="H971" i="1"/>
  <c r="A972" i="1"/>
  <c r="B972" i="1"/>
  <c r="C972" i="1"/>
  <c r="D972" i="1"/>
  <c r="E972" i="1"/>
  <c r="F972" i="1"/>
  <c r="F1099" i="1"/>
  <c r="G1101" i="1"/>
  <c r="C1103" i="1"/>
  <c r="A1105" i="1"/>
  <c r="B1107" i="1"/>
  <c r="E1109" i="1"/>
  <c r="G1110" i="1"/>
  <c r="H1112" i="1"/>
  <c r="G1114" i="1"/>
  <c r="E1116" i="1"/>
  <c r="D1118" i="1"/>
  <c r="D1120" i="1"/>
  <c r="A1123" i="1"/>
  <c r="C1124" i="1"/>
  <c r="D1126" i="1"/>
  <c r="D1128" i="1"/>
  <c r="B1130" i="1"/>
  <c r="B1132" i="1"/>
  <c r="F1133" i="1"/>
  <c r="B1135" i="1"/>
  <c r="C1137" i="1"/>
  <c r="F1139" i="1"/>
  <c r="B1141" i="1"/>
  <c r="A1143" i="1"/>
  <c r="H1144" i="1"/>
  <c r="G1146" i="1"/>
  <c r="H1148" i="1"/>
  <c r="H1150" i="1"/>
  <c r="C1153" i="1"/>
  <c r="E1154" i="1"/>
  <c r="D1156" i="1"/>
  <c r="G1158" i="1"/>
  <c r="D1160" i="1"/>
  <c r="B1162" i="1"/>
  <c r="D1164" i="1"/>
  <c r="E1166" i="1"/>
  <c r="G1167" i="1"/>
  <c r="B1170" i="1"/>
  <c r="D1172" i="1"/>
  <c r="C1173" i="1"/>
  <c r="G1175" i="1"/>
  <c r="A1178" i="1"/>
  <c r="E1180" i="1"/>
  <c r="H987" i="1"/>
  <c r="A988" i="1"/>
  <c r="B988" i="1"/>
  <c r="C988" i="1"/>
  <c r="D988" i="1"/>
  <c r="E988" i="1"/>
  <c r="F988" i="1"/>
  <c r="G988" i="1"/>
  <c r="H988" i="1"/>
  <c r="A989" i="1"/>
  <c r="B989" i="1"/>
  <c r="C989" i="1"/>
  <c r="D989" i="1"/>
  <c r="E989" i="1"/>
  <c r="F989" i="1"/>
  <c r="G989" i="1"/>
  <c r="H989" i="1"/>
  <c r="A990" i="1"/>
  <c r="B990" i="1"/>
  <c r="C990" i="1"/>
  <c r="D990" i="1"/>
  <c r="E990" i="1"/>
  <c r="F990" i="1"/>
  <c r="G990" i="1"/>
  <c r="H990" i="1"/>
  <c r="A991" i="1"/>
  <c r="B991" i="1"/>
  <c r="C991" i="1"/>
  <c r="D991" i="1"/>
  <c r="E991" i="1"/>
  <c r="F991" i="1"/>
  <c r="G991" i="1"/>
  <c r="H991" i="1"/>
  <c r="A992" i="1"/>
  <c r="B992" i="1"/>
  <c r="C992" i="1"/>
  <c r="D992" i="1"/>
  <c r="E992" i="1"/>
  <c r="F992" i="1"/>
  <c r="G992" i="1"/>
  <c r="H992" i="1"/>
  <c r="A993" i="1"/>
  <c r="B993" i="1"/>
  <c r="C993" i="1"/>
  <c r="D993" i="1"/>
  <c r="E993" i="1"/>
  <c r="F993" i="1"/>
  <c r="G993" i="1"/>
  <c r="H993" i="1"/>
  <c r="A994" i="1"/>
  <c r="B994" i="1"/>
  <c r="C994" i="1"/>
  <c r="D994" i="1"/>
  <c r="E994" i="1"/>
  <c r="F994" i="1"/>
  <c r="G994" i="1"/>
  <c r="H994" i="1"/>
  <c r="A995" i="1"/>
  <c r="B995" i="1"/>
  <c r="C995" i="1"/>
  <c r="D995" i="1"/>
  <c r="E995" i="1"/>
  <c r="F995" i="1"/>
  <c r="G995" i="1"/>
  <c r="H995" i="1"/>
  <c r="A996" i="1"/>
  <c r="B996" i="1"/>
  <c r="C996" i="1"/>
  <c r="D996" i="1"/>
  <c r="E996" i="1"/>
  <c r="F996" i="1"/>
  <c r="G996" i="1"/>
  <c r="H996" i="1"/>
  <c r="A997" i="1"/>
  <c r="B997" i="1"/>
  <c r="C997" i="1"/>
  <c r="D997" i="1"/>
  <c r="E997" i="1"/>
  <c r="F997" i="1"/>
  <c r="G997" i="1"/>
  <c r="H997" i="1"/>
  <c r="A998" i="1"/>
  <c r="B998" i="1"/>
  <c r="C998" i="1"/>
  <c r="D998" i="1"/>
  <c r="E998" i="1"/>
  <c r="F998" i="1"/>
  <c r="G998" i="1"/>
  <c r="H998" i="1"/>
  <c r="A999" i="1"/>
  <c r="B999" i="1"/>
  <c r="C999" i="1"/>
  <c r="D999" i="1"/>
  <c r="E999" i="1"/>
  <c r="F999" i="1"/>
  <c r="G999" i="1"/>
  <c r="H999" i="1"/>
  <c r="A1000" i="1"/>
  <c r="B1000" i="1"/>
  <c r="C1000" i="1"/>
  <c r="D1000" i="1"/>
  <c r="E1000" i="1"/>
  <c r="F1000" i="1"/>
  <c r="G1000" i="1"/>
  <c r="H1000" i="1"/>
  <c r="A1001" i="1"/>
  <c r="B1001" i="1"/>
  <c r="C1001" i="1"/>
  <c r="D1001" i="1"/>
  <c r="E1001" i="1"/>
  <c r="F1001" i="1"/>
  <c r="G1001" i="1"/>
  <c r="H1001" i="1"/>
  <c r="A1002" i="1"/>
  <c r="B1002" i="1"/>
  <c r="C1002" i="1"/>
  <c r="D1002" i="1"/>
  <c r="E1002" i="1"/>
  <c r="F1002" i="1"/>
  <c r="G1002" i="1"/>
  <c r="H1002" i="1"/>
  <c r="A1003" i="1"/>
  <c r="B1003" i="1"/>
  <c r="C1003" i="1"/>
  <c r="D1003" i="1"/>
  <c r="E1003" i="1"/>
  <c r="F1003" i="1"/>
  <c r="G1003" i="1"/>
  <c r="H1003" i="1"/>
  <c r="A1004" i="1"/>
  <c r="B1004" i="1"/>
  <c r="C1004" i="1"/>
  <c r="D1004" i="1"/>
  <c r="E1004" i="1"/>
  <c r="F1004" i="1"/>
  <c r="G1004" i="1"/>
  <c r="H1004" i="1"/>
  <c r="A1005" i="1"/>
  <c r="B1005" i="1"/>
  <c r="C1005" i="1"/>
  <c r="D1005" i="1"/>
  <c r="E1005" i="1"/>
  <c r="F1005" i="1"/>
  <c r="G1005" i="1"/>
  <c r="H1005" i="1"/>
  <c r="A1006" i="1"/>
  <c r="B1006" i="1"/>
  <c r="C1006" i="1"/>
  <c r="D1006" i="1"/>
  <c r="E1006" i="1"/>
  <c r="F1006" i="1"/>
  <c r="G1006" i="1"/>
  <c r="H1006" i="1"/>
  <c r="A1007" i="1"/>
  <c r="B1007" i="1"/>
  <c r="C1007" i="1"/>
  <c r="D1007" i="1"/>
  <c r="E1007" i="1"/>
  <c r="F1007" i="1"/>
  <c r="G1007" i="1"/>
  <c r="H1007" i="1"/>
  <c r="A1008" i="1"/>
  <c r="B1008" i="1"/>
  <c r="C1008" i="1"/>
  <c r="D1008" i="1"/>
  <c r="E1008" i="1"/>
  <c r="F1008" i="1"/>
  <c r="G1008" i="1"/>
  <c r="H1008" i="1"/>
  <c r="A1009" i="1"/>
  <c r="B1009" i="1"/>
  <c r="C1009" i="1"/>
  <c r="D1009" i="1"/>
  <c r="E1009" i="1"/>
  <c r="C663" i="1"/>
  <c r="G1009" i="1"/>
  <c r="H1009" i="1"/>
  <c r="A1010" i="1"/>
  <c r="B1010" i="1"/>
  <c r="C1010" i="1"/>
  <c r="D1010" i="1"/>
  <c r="E1010" i="1"/>
  <c r="F1010" i="1"/>
  <c r="G1010" i="1"/>
  <c r="H1010" i="1"/>
  <c r="A1011" i="1"/>
  <c r="B1011" i="1"/>
  <c r="C1011" i="1"/>
  <c r="D1011" i="1"/>
  <c r="E1011" i="1"/>
  <c r="F1011" i="1"/>
  <c r="G1011" i="1"/>
  <c r="H1011" i="1"/>
  <c r="A1012" i="1"/>
  <c r="B1012" i="1"/>
  <c r="C1012" i="1"/>
  <c r="D1012" i="1"/>
  <c r="E1012" i="1"/>
  <c r="F1012" i="1"/>
  <c r="G1012" i="1"/>
  <c r="H1012" i="1"/>
  <c r="A1013" i="1"/>
  <c r="B1013" i="1"/>
  <c r="C1013" i="1"/>
  <c r="D1013" i="1"/>
  <c r="E1013" i="1"/>
  <c r="F1013" i="1"/>
  <c r="G1013" i="1"/>
  <c r="H1013" i="1"/>
  <c r="A1014" i="1"/>
  <c r="B1014" i="1"/>
  <c r="C1014" i="1"/>
  <c r="D1014" i="1"/>
  <c r="E1014" i="1"/>
  <c r="F1014" i="1"/>
  <c r="G1014" i="1"/>
  <c r="H1014" i="1"/>
  <c r="A1015" i="1"/>
  <c r="B1015" i="1"/>
  <c r="C1015" i="1"/>
  <c r="D1015" i="1"/>
  <c r="E1015" i="1"/>
  <c r="F1015" i="1"/>
  <c r="G1015" i="1"/>
  <c r="H1015" i="1"/>
  <c r="A1016" i="1"/>
  <c r="B1016" i="1"/>
  <c r="C1016" i="1"/>
  <c r="D1016" i="1"/>
  <c r="E1016" i="1"/>
  <c r="F1016" i="1"/>
  <c r="G1016" i="1"/>
  <c r="H1016" i="1"/>
  <c r="A1017" i="1"/>
  <c r="B1017" i="1"/>
  <c r="C1017" i="1"/>
  <c r="D1017" i="1"/>
  <c r="E1017" i="1"/>
  <c r="F1017" i="1"/>
  <c r="G1017" i="1"/>
  <c r="H1017" i="1"/>
  <c r="A1018" i="1"/>
  <c r="B1018" i="1"/>
  <c r="C1018" i="1"/>
  <c r="D1018" i="1"/>
  <c r="E1018" i="1"/>
  <c r="F1018" i="1"/>
  <c r="G1018" i="1"/>
  <c r="H1018" i="1"/>
  <c r="A1019" i="1"/>
  <c r="B1019" i="1"/>
  <c r="C1019" i="1"/>
  <c r="D1019" i="1"/>
  <c r="E1019" i="1"/>
  <c r="F1019" i="1"/>
  <c r="G1019" i="1"/>
  <c r="H1019" i="1"/>
  <c r="A1020" i="1"/>
  <c r="B1020" i="1"/>
  <c r="C1020" i="1"/>
  <c r="D1020" i="1"/>
  <c r="E1020" i="1"/>
  <c r="F1020" i="1"/>
  <c r="G1020" i="1"/>
  <c r="H1020" i="1"/>
  <c r="A1021" i="1"/>
  <c r="B1021" i="1"/>
  <c r="C1021" i="1"/>
  <c r="D1021" i="1"/>
  <c r="E1021" i="1"/>
  <c r="A10" i="1"/>
  <c r="D10" i="1"/>
  <c r="A11" i="1"/>
  <c r="F11" i="1"/>
  <c r="B12" i="1"/>
  <c r="F12" i="1"/>
  <c r="B13" i="1"/>
  <c r="A14" i="1"/>
  <c r="H14" i="1"/>
  <c r="C15" i="1"/>
  <c r="H15" i="1"/>
  <c r="C16" i="1"/>
  <c r="B17" i="1"/>
  <c r="E17" i="1"/>
  <c r="A18" i="1"/>
  <c r="E18" i="1"/>
  <c r="E19" i="1"/>
  <c r="A20" i="1"/>
  <c r="D20" i="1"/>
  <c r="H20" i="1"/>
  <c r="C21" i="1"/>
  <c r="C22" i="1"/>
  <c r="H22" i="1"/>
  <c r="D23" i="1"/>
  <c r="B24" i="1"/>
  <c r="G24" i="1"/>
  <c r="B25" i="1"/>
  <c r="F25" i="1"/>
  <c r="B26" i="1"/>
  <c r="H26" i="1"/>
  <c r="C27" i="1"/>
  <c r="H27" i="1"/>
  <c r="E28" i="1"/>
  <c r="D29" i="1"/>
  <c r="G29" i="1"/>
  <c r="E30" i="1"/>
  <c r="E31" i="1"/>
  <c r="H32" i="1"/>
  <c r="C33" i="1"/>
  <c r="E34" i="1"/>
  <c r="D35" i="1"/>
  <c r="G35" i="1"/>
  <c r="C36" i="1"/>
  <c r="E36" i="1"/>
  <c r="H36" i="1"/>
  <c r="C37" i="1"/>
  <c r="A38" i="1"/>
  <c r="B39" i="1"/>
  <c r="B40" i="1"/>
  <c r="E40" i="1"/>
  <c r="H41" i="1"/>
  <c r="C42" i="1"/>
  <c r="B43" i="1"/>
  <c r="E43" i="1"/>
  <c r="C44" i="1"/>
  <c r="F44" i="1"/>
  <c r="A45" i="1"/>
  <c r="D45" i="1"/>
  <c r="A46" i="1"/>
  <c r="D46" i="1"/>
  <c r="G46" i="1"/>
  <c r="C47" i="1"/>
  <c r="G47" i="1"/>
  <c r="D48" i="1"/>
  <c r="H48" i="1"/>
  <c r="D49" i="1"/>
  <c r="G49" i="1"/>
  <c r="C50" i="1"/>
  <c r="F50" i="1"/>
  <c r="C51" i="1"/>
  <c r="E51" i="1"/>
  <c r="B52" i="1"/>
  <c r="E52" i="1"/>
  <c r="A53" i="1"/>
  <c r="D53" i="1"/>
  <c r="H53" i="1"/>
  <c r="D54" i="1"/>
  <c r="H54" i="1"/>
  <c r="D55" i="1"/>
  <c r="B56" i="1"/>
  <c r="E56" i="1"/>
  <c r="A57" i="1"/>
  <c r="D57" i="1"/>
  <c r="A58" i="1"/>
  <c r="D58" i="1"/>
  <c r="G58" i="1"/>
  <c r="B59" i="1"/>
  <c r="H59" i="1"/>
  <c r="G60" i="1"/>
  <c r="A62" i="1"/>
  <c r="D62" i="1"/>
  <c r="H62" i="1"/>
  <c r="C63" i="1"/>
  <c r="H63" i="1"/>
  <c r="D64" i="1"/>
  <c r="H64" i="1"/>
  <c r="C65" i="1"/>
  <c r="H65" i="1"/>
  <c r="C66" i="1"/>
  <c r="F66" i="1"/>
  <c r="D67" i="1"/>
  <c r="A68" i="1"/>
  <c r="D68" i="1"/>
  <c r="G68" i="1"/>
  <c r="C69" i="1"/>
  <c r="H69" i="1"/>
  <c r="E70" i="1"/>
  <c r="D71" i="1"/>
  <c r="A72" i="1"/>
  <c r="D72" i="1"/>
  <c r="G72" i="1"/>
  <c r="C73" i="1"/>
  <c r="F73" i="1"/>
  <c r="B74" i="1"/>
  <c r="F74" i="1"/>
  <c r="B75" i="1"/>
  <c r="G75" i="1"/>
  <c r="C76" i="1"/>
  <c r="F76" i="1"/>
  <c r="F261" i="1"/>
  <c r="C262" i="1"/>
  <c r="F262" i="1"/>
  <c r="B264" i="1"/>
  <c r="F264" i="1"/>
  <c r="A265" i="1"/>
  <c r="C265" i="1"/>
  <c r="F265" i="1"/>
  <c r="B266" i="1"/>
  <c r="G266" i="1"/>
  <c r="B267" i="1"/>
  <c r="E267" i="1"/>
  <c r="A268" i="1"/>
  <c r="D269" i="1"/>
  <c r="B270" i="1"/>
  <c r="A271" i="1"/>
  <c r="H271" i="1"/>
  <c r="H272" i="1"/>
  <c r="C273" i="1"/>
  <c r="H273" i="1"/>
  <c r="C274" i="1"/>
  <c r="B276" i="1"/>
  <c r="A277" i="1"/>
  <c r="E277" i="1"/>
  <c r="D278" i="1"/>
  <c r="H278" i="1"/>
  <c r="E279" i="1"/>
  <c r="C280" i="1"/>
  <c r="E280" i="1"/>
  <c r="A281" i="1"/>
  <c r="F281" i="1"/>
  <c r="D282" i="1"/>
  <c r="C283" i="1"/>
  <c r="G283" i="1"/>
  <c r="A285" i="1"/>
  <c r="E285" i="1"/>
  <c r="A286" i="1"/>
  <c r="E286" i="1"/>
  <c r="H286" i="1"/>
  <c r="C287" i="1"/>
  <c r="F287" i="1"/>
  <c r="B288" i="1"/>
  <c r="F288" i="1"/>
  <c r="C289" i="1"/>
  <c r="A290" i="1"/>
  <c r="D290" i="1"/>
  <c r="D291" i="1"/>
  <c r="A292" i="1"/>
  <c r="A293" i="1"/>
  <c r="D294" i="1"/>
  <c r="H294" i="1"/>
  <c r="C296" i="1"/>
  <c r="F296" i="1"/>
  <c r="C298" i="1"/>
  <c r="H300" i="1"/>
  <c r="C302" i="1"/>
  <c r="D303" i="1"/>
  <c r="D304" i="1"/>
  <c r="F305" i="1"/>
  <c r="H307" i="1"/>
  <c r="A309" i="1"/>
  <c r="A312" i="1"/>
  <c r="G313" i="1"/>
  <c r="A316" i="1"/>
  <c r="B318" i="1"/>
  <c r="H319" i="1"/>
  <c r="F321" i="1"/>
  <c r="A323" i="1"/>
  <c r="D326" i="1"/>
  <c r="A330" i="1"/>
  <c r="H330" i="1"/>
  <c r="C333" i="1"/>
  <c r="D334" i="1"/>
  <c r="H335" i="1"/>
  <c r="H336" i="1"/>
  <c r="A339" i="1"/>
  <c r="F340" i="1"/>
  <c r="F341" i="1"/>
  <c r="H343" i="1"/>
  <c r="H345" i="1"/>
  <c r="B347" i="1"/>
  <c r="C348" i="1"/>
  <c r="D349" i="1"/>
  <c r="F350" i="1"/>
  <c r="D351" i="1"/>
  <c r="E352" i="1"/>
  <c r="D353" i="1"/>
  <c r="C354" i="1"/>
  <c r="G355" i="1"/>
  <c r="A357" i="1"/>
  <c r="B358" i="1"/>
  <c r="A359" i="1"/>
  <c r="H360" i="1"/>
  <c r="D362" i="1"/>
  <c r="D363" i="1"/>
  <c r="D659" i="1"/>
  <c r="E660" i="1"/>
  <c r="D1050" i="1"/>
  <c r="F1051" i="1"/>
  <c r="E1052" i="1"/>
  <c r="F1053" i="1"/>
  <c r="H1054" i="1"/>
  <c r="H1055" i="1"/>
  <c r="A1057" i="1"/>
  <c r="A1058" i="1"/>
  <c r="D1059" i="1"/>
  <c r="A1060" i="1"/>
  <c r="A1061" i="1"/>
  <c r="F1062" i="1"/>
  <c r="C1064" i="1"/>
  <c r="A1066" i="1"/>
  <c r="E1067" i="1"/>
  <c r="D1036" i="1"/>
  <c r="E1043" i="1"/>
  <c r="G1045" i="1"/>
  <c r="B1048" i="1"/>
  <c r="E1051" i="1"/>
  <c r="A1054" i="1"/>
  <c r="F1056" i="1"/>
  <c r="E1059" i="1"/>
  <c r="H1062" i="1"/>
  <c r="H1065" i="1"/>
  <c r="E1068" i="1"/>
  <c r="A1071" i="1"/>
  <c r="A1074" i="1"/>
  <c r="E1076" i="1"/>
  <c r="C1079" i="1"/>
  <c r="A1082" i="1"/>
  <c r="F1084" i="1"/>
  <c r="B1087" i="1"/>
  <c r="F1089" i="1"/>
  <c r="H1092" i="1"/>
  <c r="D1095" i="1"/>
  <c r="A1098" i="1"/>
  <c r="H1100" i="1"/>
  <c r="A1104" i="1"/>
  <c r="F1106" i="1"/>
  <c r="G1108" i="1"/>
  <c r="H1111" i="1"/>
  <c r="E1114" i="1"/>
  <c r="D1117" i="1"/>
  <c r="H1119" i="1"/>
  <c r="D1122" i="1"/>
  <c r="C1125" i="1"/>
  <c r="H1127" i="1"/>
  <c r="H1130" i="1"/>
  <c r="A1133" i="1"/>
  <c r="F1135" i="1"/>
  <c r="B1138" i="1"/>
  <c r="H1140" i="1"/>
  <c r="G1143" i="1"/>
  <c r="C1146" i="1"/>
  <c r="D1149" i="1"/>
  <c r="G1151" i="1"/>
  <c r="C1154" i="1"/>
  <c r="D1157" i="1"/>
  <c r="A1160" i="1"/>
  <c r="H1162" i="1"/>
  <c r="E1165" i="1"/>
  <c r="C1168" i="1"/>
  <c r="C1171" i="1"/>
  <c r="G1173" i="1"/>
  <c r="A1177" i="1"/>
  <c r="C1179" i="1"/>
  <c r="F146" i="1"/>
  <c r="F663" i="1"/>
  <c r="C664" i="1"/>
  <c r="F664" i="1"/>
  <c r="C665" i="1"/>
  <c r="G666" i="1"/>
  <c r="D667" i="1"/>
  <c r="G667" i="1"/>
  <c r="B668" i="1"/>
  <c r="F668" i="1"/>
  <c r="F669" i="1"/>
  <c r="C670" i="1"/>
  <c r="H670" i="1"/>
  <c r="F671" i="1"/>
  <c r="E672" i="1"/>
  <c r="B673" i="1"/>
  <c r="A674" i="1"/>
  <c r="B675" i="1"/>
  <c r="A676" i="1"/>
  <c r="E676" i="1"/>
  <c r="C677" i="1"/>
  <c r="H677" i="1"/>
  <c r="G678" i="1"/>
  <c r="D679" i="1"/>
  <c r="G680" i="1"/>
  <c r="B681" i="1"/>
  <c r="H681" i="1"/>
  <c r="G682" i="1"/>
  <c r="G683" i="1"/>
  <c r="F684" i="1"/>
  <c r="E686" i="1"/>
  <c r="B768" i="1"/>
  <c r="A769" i="1"/>
  <c r="F769" i="1"/>
  <c r="D770" i="1"/>
  <c r="D771" i="1"/>
  <c r="A772" i="1"/>
  <c r="D773" i="1"/>
  <c r="C774" i="1"/>
  <c r="A775" i="1"/>
  <c r="H775" i="1"/>
  <c r="D776" i="1"/>
  <c r="G776" i="1"/>
  <c r="D777" i="1"/>
  <c r="D778" i="1"/>
  <c r="H778" i="1"/>
  <c r="F779" i="1"/>
  <c r="E780" i="1"/>
  <c r="D781" i="1"/>
  <c r="B782" i="1"/>
  <c r="H782" i="1"/>
  <c r="A784" i="1"/>
  <c r="F784" i="1"/>
  <c r="C785" i="1"/>
  <c r="D786" i="1"/>
  <c r="C787" i="1"/>
  <c r="C788" i="1"/>
  <c r="A789" i="1"/>
  <c r="F789" i="1"/>
  <c r="E790" i="1"/>
  <c r="F791" i="1"/>
  <c r="C792" i="1"/>
  <c r="H792" i="1"/>
  <c r="H793" i="1"/>
  <c r="G794" i="1"/>
  <c r="E795" i="1"/>
  <c r="E796" i="1"/>
  <c r="C797" i="1"/>
  <c r="A798" i="1"/>
  <c r="D798" i="1"/>
  <c r="B799" i="1"/>
  <c r="F799" i="1"/>
  <c r="D800" i="1"/>
  <c r="E801" i="1"/>
  <c r="B802" i="1"/>
  <c r="F802" i="1"/>
  <c r="A803" i="1"/>
  <c r="E803" i="1"/>
  <c r="H803" i="1"/>
  <c r="C804" i="1"/>
  <c r="D804" i="1"/>
  <c r="G804" i="1"/>
  <c r="D805" i="1"/>
  <c r="G805" i="1"/>
  <c r="C806" i="1"/>
  <c r="E806" i="1"/>
  <c r="H806" i="1"/>
  <c r="C807" i="1"/>
  <c r="F807" i="1"/>
  <c r="A808" i="1"/>
  <c r="D808" i="1"/>
  <c r="G808" i="1"/>
  <c r="B809" i="1"/>
  <c r="D809" i="1"/>
  <c r="G809" i="1"/>
  <c r="A810" i="1"/>
  <c r="D810" i="1"/>
  <c r="G810" i="1"/>
  <c r="C811" i="1"/>
  <c r="E811" i="1"/>
  <c r="H811" i="1"/>
  <c r="B812" i="1"/>
  <c r="E812" i="1"/>
  <c r="H812" i="1"/>
  <c r="B813" i="1"/>
  <c r="F813" i="1"/>
  <c r="A814" i="1"/>
  <c r="D814" i="1"/>
  <c r="F814" i="1"/>
  <c r="A815" i="1"/>
  <c r="D815" i="1"/>
  <c r="F815" i="1"/>
  <c r="H815" i="1"/>
  <c r="C816" i="1"/>
  <c r="F816" i="1"/>
  <c r="A817" i="1"/>
  <c r="D817" i="1"/>
  <c r="F817" i="1"/>
  <c r="B818" i="1"/>
  <c r="E818" i="1"/>
  <c r="G818" i="1"/>
  <c r="B819" i="1"/>
  <c r="E819" i="1"/>
  <c r="G819" i="1"/>
  <c r="B820" i="1"/>
  <c r="F820" i="1"/>
  <c r="H820" i="1"/>
  <c r="C821" i="1"/>
  <c r="F821" i="1"/>
  <c r="H821" i="1"/>
  <c r="C822" i="1"/>
  <c r="F822" i="1"/>
  <c r="H822" i="1"/>
  <c r="F824" i="1"/>
  <c r="A825" i="1"/>
  <c r="C825" i="1"/>
  <c r="F825" i="1"/>
  <c r="H825" i="1"/>
  <c r="C826" i="1"/>
  <c r="F826" i="1"/>
  <c r="H826" i="1"/>
  <c r="C827" i="1"/>
  <c r="F827" i="1"/>
  <c r="A828" i="1"/>
  <c r="C828" i="1"/>
  <c r="F828" i="1"/>
  <c r="A829" i="1"/>
  <c r="C829" i="1"/>
  <c r="F829" i="1"/>
  <c r="H829" i="1"/>
  <c r="D830" i="1"/>
  <c r="G830" i="1"/>
  <c r="A831" i="1"/>
  <c r="C831" i="1"/>
  <c r="G831" i="1"/>
  <c r="B832" i="1"/>
  <c r="D832" i="1"/>
  <c r="G832" i="1"/>
  <c r="B833" i="1"/>
  <c r="D833" i="1"/>
  <c r="F833" i="1"/>
  <c r="A834" i="1"/>
  <c r="D834" i="1"/>
  <c r="G834" i="1"/>
  <c r="B835" i="1"/>
  <c r="D835" i="1"/>
  <c r="G835" i="1"/>
  <c r="B836" i="1"/>
  <c r="D836" i="1"/>
  <c r="G836" i="1"/>
  <c r="B837" i="1"/>
  <c r="E837" i="1"/>
  <c r="H837" i="1"/>
  <c r="C838" i="1"/>
  <c r="F838" i="1"/>
  <c r="A839" i="1"/>
  <c r="D839" i="1"/>
  <c r="G839" i="1"/>
  <c r="B840" i="1"/>
  <c r="E840" i="1"/>
  <c r="H840" i="1"/>
  <c r="C841" i="1"/>
  <c r="F841" i="1"/>
  <c r="A842" i="1"/>
  <c r="B842" i="1"/>
  <c r="E842" i="1"/>
  <c r="H842" i="1"/>
  <c r="A843" i="1"/>
  <c r="D843" i="1"/>
  <c r="G843" i="1"/>
  <c r="A844" i="1"/>
  <c r="D844" i="1"/>
  <c r="F844" i="1"/>
  <c r="A845" i="1"/>
  <c r="D845" i="1"/>
  <c r="G845" i="1"/>
  <c r="B846" i="1"/>
  <c r="D846" i="1"/>
  <c r="G846" i="1"/>
  <c r="B847" i="1"/>
  <c r="C847" i="1"/>
  <c r="F847" i="1"/>
  <c r="A848" i="1"/>
  <c r="C848" i="1"/>
  <c r="F848" i="1"/>
  <c r="A849" i="1"/>
  <c r="D849" i="1"/>
  <c r="G849" i="1"/>
  <c r="B850" i="1"/>
  <c r="E850" i="1"/>
  <c r="H850" i="1"/>
  <c r="C851" i="1"/>
  <c r="E851" i="1"/>
  <c r="H851" i="1"/>
  <c r="C852" i="1"/>
  <c r="F852" i="1"/>
  <c r="B1029" i="1"/>
  <c r="D1029" i="1"/>
  <c r="F1029" i="1"/>
  <c r="H1029" i="1"/>
  <c r="B1030" i="1"/>
  <c r="D1030" i="1"/>
  <c r="F1030" i="1"/>
  <c r="H1030" i="1"/>
  <c r="B1031" i="1"/>
  <c r="D1031" i="1"/>
  <c r="F1031" i="1"/>
  <c r="H1031" i="1"/>
  <c r="B1032" i="1"/>
  <c r="D1032" i="1"/>
  <c r="F1032" i="1"/>
  <c r="H1032" i="1"/>
  <c r="B1033" i="1"/>
  <c r="D1033" i="1"/>
  <c r="F1033" i="1"/>
  <c r="H1033" i="1"/>
  <c r="B1034" i="1"/>
  <c r="D1034" i="1"/>
  <c r="F1034" i="1"/>
  <c r="G1034" i="1"/>
  <c r="A1035" i="1"/>
  <c r="C1035" i="1"/>
  <c r="E1035" i="1"/>
  <c r="G1035" i="1"/>
  <c r="A1036" i="1"/>
  <c r="C1036" i="1"/>
  <c r="E1036" i="1"/>
  <c r="G1036" i="1"/>
  <c r="A1037" i="1"/>
  <c r="C1037" i="1"/>
  <c r="E1037" i="1"/>
  <c r="G1037" i="1"/>
  <c r="A1038" i="1"/>
  <c r="C1038" i="1"/>
  <c r="E1038" i="1"/>
  <c r="G1038" i="1"/>
  <c r="B1039" i="1"/>
  <c r="E1039" i="1"/>
  <c r="G1039" i="1"/>
  <c r="A1040" i="1"/>
  <c r="C1040" i="1"/>
  <c r="F1040" i="1"/>
  <c r="H1040" i="1"/>
  <c r="B1041" i="1"/>
  <c r="D1041" i="1"/>
  <c r="F1041" i="1"/>
  <c r="H1041" i="1"/>
  <c r="B1042" i="1"/>
  <c r="D1042" i="1"/>
  <c r="F1042" i="1"/>
  <c r="H1042" i="1"/>
  <c r="B1043" i="1"/>
  <c r="D1043" i="1"/>
  <c r="F1043" i="1"/>
  <c r="H1043" i="1"/>
  <c r="B1044" i="1"/>
  <c r="D1044" i="1"/>
  <c r="F1044" i="1"/>
  <c r="H1044" i="1"/>
  <c r="B1045" i="1"/>
  <c r="D1045" i="1"/>
  <c r="F1045" i="1"/>
  <c r="H1045" i="1"/>
  <c r="B1046" i="1"/>
  <c r="D1046" i="1"/>
  <c r="F1046" i="1"/>
  <c r="H1046" i="1"/>
  <c r="B1047" i="1"/>
  <c r="D1047" i="1"/>
  <c r="F1047" i="1"/>
  <c r="G1047" i="1"/>
  <c r="A1048" i="1"/>
  <c r="C1048" i="1"/>
  <c r="E1048" i="1"/>
  <c r="G1048" i="1"/>
  <c r="A1049" i="1"/>
  <c r="B1049" i="1"/>
  <c r="H1049" i="1"/>
  <c r="D1051" i="1"/>
  <c r="G1052" i="1"/>
  <c r="H1053" i="1"/>
  <c r="B1055" i="1"/>
  <c r="B1056" i="1"/>
  <c r="C1057" i="1"/>
  <c r="E1058" i="1"/>
  <c r="F1059" i="1"/>
  <c r="C1060" i="1"/>
  <c r="E1061" i="1"/>
  <c r="A1063" i="1"/>
  <c r="H1064" i="1"/>
  <c r="C1066" i="1"/>
  <c r="B1035" i="1"/>
  <c r="H1037" i="1"/>
  <c r="A1044" i="1"/>
  <c r="G1046" i="1"/>
  <c r="G1049" i="1"/>
  <c r="B1052" i="1"/>
  <c r="C1055" i="1"/>
  <c r="H1057" i="1"/>
  <c r="D1061" i="1"/>
  <c r="B1064" i="1"/>
  <c r="H1066" i="1"/>
  <c r="A1070" i="1"/>
  <c r="F1072" i="1"/>
  <c r="C1075" i="1"/>
  <c r="D1078" i="1"/>
  <c r="G1080" i="1"/>
  <c r="B1083" i="1"/>
  <c r="H1085" i="1"/>
  <c r="F1088" i="1"/>
  <c r="E1091" i="1"/>
  <c r="B1094" i="1"/>
  <c r="H1096" i="1"/>
  <c r="H1099" i="1"/>
  <c r="E1102" i="1"/>
  <c r="E1105" i="1"/>
  <c r="C1108" i="1"/>
  <c r="D1110" i="1"/>
  <c r="E1113" i="1"/>
  <c r="B1116" i="1"/>
  <c r="A1119" i="1"/>
  <c r="G1121" i="1"/>
  <c r="G1124" i="1"/>
  <c r="D1127" i="1"/>
  <c r="F1130" i="1"/>
  <c r="B1133" i="1"/>
  <c r="A1136" i="1"/>
  <c r="C1138" i="1"/>
  <c r="D1141" i="1"/>
  <c r="A1144" i="1"/>
  <c r="A1147" i="1"/>
  <c r="F1149" i="1"/>
  <c r="C1152" i="1"/>
  <c r="E1155" i="1"/>
  <c r="E1158" i="1"/>
  <c r="D1161" i="1"/>
  <c r="B1164" i="1"/>
  <c r="G1166" i="1"/>
  <c r="F1169" i="1"/>
  <c r="H1171" i="1"/>
  <c r="D1175" i="1"/>
  <c r="H1177" i="1"/>
  <c r="H13" i="1"/>
  <c r="G1067" i="1"/>
  <c r="H1067" i="1"/>
  <c r="B1068" i="1"/>
  <c r="D1068" i="1"/>
  <c r="F1068" i="1"/>
  <c r="H1068" i="1"/>
  <c r="B1069" i="1"/>
  <c r="D1069" i="1"/>
  <c r="F1069" i="1"/>
  <c r="G1069" i="1"/>
  <c r="B1070" i="1"/>
  <c r="D1070" i="1"/>
  <c r="F1070" i="1"/>
  <c r="H1070" i="1"/>
  <c r="B1071" i="1"/>
  <c r="D1071" i="1"/>
  <c r="F1071" i="1"/>
  <c r="G1071" i="1"/>
  <c r="A1072" i="1"/>
  <c r="C1072" i="1"/>
  <c r="E1072" i="1"/>
  <c r="G1072" i="1"/>
  <c r="A1073" i="1"/>
  <c r="C1073" i="1"/>
  <c r="E1073" i="1"/>
  <c r="F1073" i="1"/>
  <c r="H1073" i="1"/>
  <c r="B1074" i="1"/>
  <c r="D1074" i="1"/>
  <c r="F1074" i="1"/>
  <c r="G1074" i="1"/>
  <c r="A1075" i="1"/>
  <c r="D1075" i="1"/>
  <c r="F1075" i="1"/>
  <c r="H1075" i="1"/>
  <c r="B1076" i="1"/>
  <c r="D1076" i="1"/>
  <c r="F1076" i="1"/>
  <c r="H1076" i="1"/>
  <c r="B1077" i="1"/>
  <c r="C1077" i="1"/>
  <c r="E1077" i="1"/>
  <c r="G1077" i="1"/>
  <c r="B1078" i="1"/>
  <c r="C1078" i="1"/>
  <c r="F1078" i="1"/>
  <c r="H1078" i="1"/>
  <c r="B1079" i="1"/>
  <c r="D1079" i="1"/>
  <c r="F1079" i="1"/>
  <c r="H1079" i="1"/>
  <c r="B1080" i="1"/>
  <c r="D1080" i="1"/>
  <c r="F1080" i="1"/>
  <c r="H1080" i="1"/>
  <c r="B1081" i="1"/>
  <c r="C1081" i="1"/>
  <c r="F1081" i="1"/>
  <c r="H1081" i="1"/>
  <c r="B1082" i="1"/>
  <c r="C1082" i="1"/>
  <c r="E1082" i="1"/>
  <c r="G1082" i="1"/>
  <c r="A1083" i="1"/>
  <c r="C1083" i="1"/>
  <c r="E1083" i="1"/>
  <c r="G1083" i="1"/>
  <c r="A1084" i="1"/>
  <c r="C1084" i="1"/>
  <c r="D1084" i="1"/>
  <c r="G1084" i="1"/>
  <c r="H1084" i="1"/>
  <c r="B1085" i="1"/>
  <c r="D1085" i="1"/>
  <c r="F1085" i="1"/>
  <c r="A1086" i="1"/>
  <c r="C1086" i="1"/>
  <c r="E1086" i="1"/>
  <c r="G1086" i="1"/>
  <c r="A1087" i="1"/>
  <c r="C1087" i="1"/>
  <c r="E1087" i="1"/>
  <c r="G1087" i="1"/>
  <c r="A1088" i="1"/>
  <c r="C1088" i="1"/>
  <c r="D1088" i="1"/>
  <c r="G1088" i="1"/>
  <c r="A1089" i="1"/>
  <c r="B1089" i="1"/>
  <c r="E1089" i="1"/>
  <c r="G1089" i="1"/>
  <c r="A1090" i="1"/>
  <c r="B1090" i="1"/>
  <c r="D1090" i="1"/>
  <c r="F1090" i="1"/>
  <c r="H1090" i="1"/>
  <c r="B1091" i="1"/>
  <c r="D1091" i="1"/>
  <c r="F1091" i="1"/>
  <c r="H1091" i="1"/>
  <c r="B1092" i="1"/>
  <c r="D1092" i="1"/>
  <c r="F1092" i="1"/>
  <c r="G1092" i="1"/>
  <c r="B1093" i="1"/>
  <c r="D1093" i="1"/>
  <c r="F1093" i="1"/>
  <c r="G1093" i="1"/>
  <c r="A1094" i="1"/>
  <c r="C1094" i="1"/>
  <c r="E1094" i="1"/>
  <c r="G1094" i="1"/>
  <c r="A1095" i="1"/>
  <c r="C1095" i="1"/>
  <c r="E1095" i="1"/>
  <c r="G1095" i="1"/>
  <c r="A1096" i="1"/>
  <c r="C1096" i="1"/>
  <c r="E1096" i="1"/>
  <c r="F1096" i="1"/>
  <c r="A1097" i="1"/>
  <c r="B1097" i="1"/>
  <c r="D1097" i="1"/>
  <c r="F1097" i="1"/>
  <c r="H1097" i="1"/>
  <c r="B1098" i="1"/>
  <c r="D1098" i="1"/>
  <c r="F1098" i="1"/>
  <c r="H1098" i="1"/>
  <c r="B1099" i="1"/>
  <c r="C1099" i="1"/>
  <c r="E1099" i="1"/>
  <c r="G1099" i="1"/>
  <c r="A1100" i="1"/>
  <c r="C1100" i="1"/>
  <c r="E1100" i="1"/>
  <c r="F1100" i="1"/>
  <c r="A1101" i="1"/>
  <c r="B1101" i="1"/>
  <c r="D1101" i="1"/>
  <c r="F1101" i="1"/>
  <c r="H1101" i="1"/>
  <c r="B1102" i="1"/>
  <c r="D1102" i="1"/>
  <c r="F1102" i="1"/>
  <c r="H1102" i="1"/>
  <c r="B1103" i="1"/>
  <c r="D1103" i="1"/>
  <c r="E1103" i="1"/>
  <c r="H1103" i="1"/>
  <c r="B1104" i="1"/>
  <c r="C1104" i="1"/>
  <c r="E1104" i="1"/>
  <c r="H1104" i="1"/>
  <c r="B1105" i="1"/>
  <c r="D1105" i="1"/>
  <c r="F1105" i="1"/>
  <c r="G1105" i="1"/>
  <c r="B1106" i="1"/>
  <c r="C1106" i="1"/>
  <c r="E1106" i="1"/>
  <c r="G1106" i="1"/>
  <c r="A1107" i="1"/>
  <c r="C1107" i="1"/>
  <c r="E1107" i="1"/>
  <c r="G1107" i="1"/>
  <c r="A1108" i="1"/>
  <c r="B1108" i="1"/>
  <c r="D1108" i="1"/>
  <c r="F1108" i="1"/>
  <c r="H1108" i="1"/>
  <c r="B1109" i="1"/>
  <c r="D1109" i="1"/>
  <c r="F1109" i="1"/>
  <c r="A1110" i="1"/>
  <c r="B1110" i="1"/>
  <c r="E1110" i="1"/>
  <c r="F1110" i="1"/>
  <c r="H1110" i="1"/>
  <c r="B1111" i="1"/>
  <c r="D1111" i="1"/>
  <c r="F1111" i="1"/>
  <c r="G1111" i="1"/>
  <c r="A1112" i="1"/>
  <c r="C1112" i="1"/>
  <c r="E1112" i="1"/>
  <c r="G1112" i="1"/>
  <c r="A1113" i="1"/>
  <c r="C1113" i="1"/>
  <c r="F1113" i="1"/>
  <c r="H1113" i="1"/>
  <c r="B1114" i="1"/>
  <c r="D1114" i="1"/>
  <c r="F1114" i="1"/>
  <c r="H1114" i="1"/>
  <c r="B1115" i="1"/>
  <c r="D1115" i="1"/>
  <c r="F1115" i="1"/>
  <c r="G1115" i="1"/>
  <c r="A1116" i="1"/>
  <c r="C1116" i="1"/>
  <c r="F1116" i="1"/>
  <c r="G1116" i="1"/>
  <c r="A1117" i="1"/>
  <c r="C1117" i="1"/>
  <c r="E1117" i="1"/>
  <c r="G1117" i="1"/>
  <c r="A1118" i="1"/>
  <c r="C1118" i="1"/>
  <c r="E1118" i="1"/>
  <c r="G1118" i="1"/>
  <c r="H1118" i="1"/>
  <c r="C1119" i="1"/>
  <c r="E1119" i="1"/>
  <c r="G1119" i="1"/>
  <c r="B1120" i="1"/>
  <c r="C1120" i="1"/>
  <c r="E1120" i="1"/>
  <c r="G1120" i="1"/>
  <c r="A1121" i="1"/>
  <c r="C1121" i="1"/>
  <c r="D1121" i="1"/>
  <c r="F1121" i="1"/>
  <c r="H1121" i="1"/>
  <c r="C1122" i="1"/>
  <c r="E1122" i="1"/>
  <c r="F1122" i="1"/>
  <c r="H1122" i="1"/>
  <c r="B1123" i="1"/>
  <c r="D1123" i="1"/>
  <c r="F1123" i="1"/>
  <c r="H1123" i="1"/>
  <c r="B1124" i="1"/>
  <c r="D1124" i="1"/>
  <c r="F1124" i="1"/>
  <c r="H1124" i="1"/>
  <c r="B1125" i="1"/>
  <c r="D1125" i="1"/>
  <c r="F1125" i="1"/>
  <c r="G1125" i="1"/>
  <c r="A1126" i="1"/>
  <c r="C1126" i="1"/>
  <c r="E1126" i="1"/>
  <c r="G1126" i="1"/>
  <c r="A1127" i="1"/>
  <c r="C1127" i="1"/>
  <c r="E1127" i="1"/>
  <c r="G1127" i="1"/>
  <c r="A1128" i="1"/>
  <c r="C1128" i="1"/>
  <c r="E1128" i="1"/>
  <c r="G1128" i="1"/>
  <c r="H1128" i="1"/>
  <c r="B1129" i="1"/>
  <c r="D1129" i="1"/>
  <c r="F1129" i="1"/>
  <c r="H1129" i="1"/>
  <c r="A1130" i="1"/>
  <c r="C1130" i="1"/>
  <c r="E1130" i="1"/>
  <c r="G1130" i="1"/>
  <c r="A1131" i="1"/>
  <c r="C1131" i="1"/>
  <c r="E1131" i="1"/>
  <c r="G1131" i="1"/>
  <c r="H1131" i="1"/>
  <c r="C1132" i="1"/>
  <c r="D1132" i="1"/>
  <c r="C1133" i="1"/>
  <c r="E1133" i="1"/>
  <c r="G1133" i="1"/>
  <c r="A1134" i="1"/>
  <c r="C1134" i="1"/>
  <c r="E1134" i="1"/>
  <c r="G1134" i="1"/>
  <c r="A1135" i="1"/>
  <c r="C1135" i="1"/>
  <c r="E1135" i="1"/>
  <c r="G1135" i="1"/>
  <c r="H1135" i="1"/>
  <c r="B1136" i="1"/>
  <c r="D1136" i="1"/>
  <c r="F1136" i="1"/>
  <c r="H1136" i="1"/>
  <c r="B1137" i="1"/>
  <c r="D1137" i="1"/>
  <c r="F1137" i="1"/>
  <c r="G1137" i="1"/>
  <c r="A1138" i="1"/>
  <c r="D1138" i="1"/>
  <c r="E1138" i="1"/>
  <c r="G1138" i="1"/>
  <c r="A1139" i="1"/>
  <c r="D1139" i="1"/>
  <c r="E1139" i="1"/>
  <c r="G1139" i="1"/>
  <c r="A1140" i="1"/>
  <c r="C1140" i="1"/>
  <c r="E1140" i="1"/>
  <c r="G1140" i="1"/>
  <c r="A1141" i="1"/>
  <c r="C1141" i="1"/>
  <c r="E1141" i="1"/>
  <c r="G1141" i="1"/>
  <c r="A1142" i="1"/>
  <c r="C1142" i="1"/>
  <c r="E1142" i="1"/>
  <c r="G1142" i="1"/>
  <c r="H1142" i="1"/>
  <c r="B1143" i="1"/>
  <c r="D1143" i="1"/>
  <c r="F1143" i="1"/>
  <c r="H1143" i="1"/>
  <c r="B1144" i="1"/>
  <c r="D1144" i="1"/>
  <c r="G1144" i="1"/>
  <c r="A1145" i="1"/>
  <c r="C1145" i="1"/>
  <c r="D1145" i="1"/>
  <c r="F1145" i="1"/>
  <c r="H1145" i="1"/>
  <c r="B1146" i="1"/>
  <c r="D1173" i="1"/>
  <c r="F1173" i="1"/>
  <c r="H1173" i="1"/>
  <c r="B1174" i="1"/>
  <c r="C1174" i="1"/>
  <c r="E1174" i="1"/>
  <c r="G1174" i="1"/>
  <c r="A1175" i="1"/>
  <c r="C1175" i="1"/>
  <c r="E1175" i="1"/>
  <c r="F1175" i="1"/>
  <c r="H1175" i="1"/>
  <c r="B1176" i="1"/>
  <c r="D1176" i="1"/>
  <c r="F1176" i="1"/>
  <c r="H1176" i="1"/>
  <c r="B1177" i="1"/>
  <c r="C1177" i="1"/>
  <c r="E1177" i="1"/>
  <c r="G1177" i="1"/>
  <c r="B1178" i="1"/>
  <c r="D1178" i="1"/>
  <c r="F1178" i="1"/>
  <c r="H1178" i="1"/>
  <c r="B1179" i="1"/>
  <c r="D1179" i="1"/>
  <c r="E1179" i="1"/>
  <c r="G1179" i="1"/>
  <c r="H1179" i="1"/>
  <c r="A1180" i="1"/>
  <c r="B1180" i="1"/>
  <c r="C1180" i="1"/>
  <c r="D1180" i="1"/>
  <c r="F1180" i="1"/>
  <c r="G1180" i="1"/>
  <c r="H1180" i="1"/>
  <c r="A1181" i="1"/>
  <c r="B1181" i="1"/>
  <c r="C1181" i="1"/>
  <c r="D1181" i="1"/>
  <c r="E1181" i="1"/>
  <c r="F1181" i="1"/>
  <c r="G1181" i="1"/>
  <c r="H1181" i="1"/>
  <c r="A1182" i="1"/>
  <c r="B1182" i="1"/>
  <c r="C1182" i="1"/>
  <c r="D1182" i="1"/>
  <c r="E1182" i="1"/>
  <c r="F1182" i="1"/>
  <c r="G1182" i="1"/>
  <c r="H1182" i="1"/>
  <c r="A1183" i="1"/>
  <c r="B1183" i="1"/>
  <c r="C1183" i="1"/>
  <c r="D1183" i="1"/>
  <c r="E1183" i="1"/>
  <c r="F1183" i="1"/>
  <c r="G1183" i="1"/>
  <c r="H1183" i="1"/>
  <c r="A1184" i="1"/>
  <c r="B1184" i="1"/>
  <c r="C1184" i="1"/>
  <c r="D1184" i="1"/>
  <c r="E1184" i="1"/>
  <c r="F1184" i="1"/>
  <c r="G1184" i="1"/>
  <c r="H1184" i="1"/>
  <c r="A1185" i="1"/>
  <c r="B1185" i="1"/>
  <c r="C1185" i="1"/>
  <c r="D1185" i="1"/>
  <c r="E1185" i="1"/>
  <c r="F1185" i="1"/>
  <c r="G1185" i="1"/>
  <c r="H1185" i="1"/>
  <c r="A1186" i="1"/>
  <c r="B1186" i="1"/>
  <c r="C1186" i="1"/>
  <c r="D1186" i="1"/>
  <c r="E1186" i="1"/>
  <c r="F1186" i="1"/>
  <c r="G1186" i="1"/>
  <c r="H1186" i="1"/>
  <c r="A1187" i="1"/>
  <c r="B1187" i="1"/>
  <c r="C1187" i="1"/>
  <c r="D1187" i="1"/>
  <c r="E1187" i="1"/>
  <c r="F1187" i="1"/>
  <c r="G1187" i="1"/>
  <c r="H1187" i="1"/>
  <c r="A1188" i="1"/>
  <c r="B1188" i="1"/>
  <c r="C1188" i="1"/>
  <c r="D1188" i="1"/>
  <c r="E1188" i="1"/>
  <c r="F1188" i="1"/>
  <c r="G1188" i="1"/>
  <c r="H1188" i="1"/>
  <c r="A1189" i="1"/>
  <c r="B1189" i="1"/>
  <c r="C1189" i="1"/>
  <c r="D1189" i="1"/>
  <c r="E1189" i="1"/>
  <c r="F1189" i="1"/>
  <c r="G1189" i="1"/>
  <c r="H1189" i="1"/>
  <c r="A1190" i="1"/>
  <c r="B1190" i="1"/>
  <c r="C1190" i="1"/>
  <c r="D1190" i="1"/>
  <c r="E1190" i="1"/>
  <c r="F1190" i="1"/>
  <c r="G1190" i="1"/>
  <c r="H1190" i="1"/>
  <c r="A1191" i="1"/>
  <c r="B1191" i="1"/>
  <c r="C1191" i="1"/>
  <c r="D1191" i="1"/>
  <c r="E1191" i="1"/>
  <c r="F1191" i="1"/>
  <c r="G1191" i="1"/>
  <c r="H1191" i="1"/>
  <c r="A1192" i="1"/>
  <c r="B1192" i="1"/>
  <c r="C1192" i="1"/>
  <c r="D1192" i="1"/>
  <c r="E1192" i="1"/>
  <c r="F1192" i="1"/>
  <c r="G1192" i="1"/>
  <c r="H1192" i="1"/>
  <c r="A1193" i="1"/>
  <c r="B1193" i="1"/>
  <c r="C1193" i="1"/>
  <c r="D1193" i="1"/>
  <c r="E1193" i="1"/>
  <c r="F1193" i="1"/>
  <c r="G1193" i="1"/>
  <c r="H1193" i="1"/>
  <c r="A1194" i="1"/>
  <c r="B1194" i="1"/>
  <c r="C1194" i="1"/>
  <c r="D1194" i="1"/>
  <c r="E1194" i="1"/>
  <c r="F1194" i="1"/>
  <c r="G1194" i="1"/>
  <c r="H1194" i="1"/>
  <c r="A1195" i="1"/>
  <c r="B1195" i="1"/>
  <c r="C1195" i="1"/>
  <c r="D1195" i="1"/>
  <c r="E1195" i="1"/>
  <c r="F1195" i="1"/>
  <c r="G1195" i="1"/>
  <c r="H1195" i="1"/>
  <c r="A1196" i="1"/>
  <c r="B1196" i="1"/>
  <c r="C1196" i="1"/>
  <c r="D1196" i="1"/>
  <c r="E1196" i="1"/>
  <c r="F1196" i="1"/>
  <c r="G1196" i="1"/>
  <c r="H1196" i="1"/>
  <c r="A1197" i="1"/>
  <c r="B1197" i="1"/>
  <c r="C1197" i="1"/>
  <c r="D1197" i="1"/>
  <c r="E1197" i="1"/>
  <c r="F1197" i="1"/>
  <c r="G1197" i="1"/>
  <c r="H1197" i="1"/>
  <c r="A1198" i="1"/>
  <c r="B1198" i="1"/>
  <c r="C1198" i="1"/>
  <c r="D1198" i="1"/>
  <c r="E1198" i="1"/>
  <c r="F1198" i="1"/>
  <c r="G1198" i="1"/>
  <c r="H1198" i="1"/>
  <c r="A1199" i="1"/>
  <c r="B1199" i="1"/>
  <c r="C1199" i="1"/>
  <c r="D1199" i="1"/>
  <c r="E1199" i="1"/>
  <c r="F1199" i="1"/>
  <c r="G1199" i="1"/>
  <c r="H1199" i="1"/>
  <c r="A1200" i="1"/>
  <c r="B1200" i="1"/>
  <c r="C1200" i="1"/>
  <c r="D1200" i="1"/>
  <c r="E1200" i="1"/>
  <c r="F1200" i="1"/>
  <c r="G1200" i="1"/>
  <c r="H1200" i="1"/>
  <c r="A1201" i="1"/>
  <c r="B1201" i="1"/>
  <c r="C1201" i="1"/>
  <c r="D1201" i="1"/>
  <c r="E1201" i="1"/>
  <c r="F1201" i="1"/>
  <c r="G1201" i="1"/>
  <c r="H1201" i="1"/>
  <c r="A1202" i="1"/>
  <c r="B1202" i="1"/>
  <c r="C1202" i="1"/>
  <c r="D1202" i="1"/>
  <c r="E1202" i="1"/>
  <c r="F1202" i="1"/>
  <c r="G1202" i="1"/>
  <c r="H1202" i="1"/>
  <c r="A1203" i="1"/>
  <c r="B1203" i="1"/>
  <c r="C1203" i="1"/>
  <c r="D1203" i="1"/>
  <c r="E1203" i="1"/>
  <c r="F1203" i="1"/>
  <c r="G1203" i="1"/>
  <c r="H1203" i="1"/>
  <c r="A1204" i="1"/>
  <c r="B1204" i="1"/>
  <c r="C1204" i="1"/>
  <c r="D1204" i="1"/>
  <c r="E1204" i="1"/>
  <c r="F1204" i="1"/>
  <c r="G1204" i="1"/>
  <c r="C266" i="1"/>
  <c r="C268" i="1"/>
  <c r="H270" i="1"/>
  <c r="B273" i="1"/>
  <c r="A274" i="1"/>
  <c r="G275" i="1"/>
  <c r="F276" i="1"/>
  <c r="D277" i="1"/>
  <c r="B278" i="1"/>
  <c r="A280" i="1"/>
  <c r="D280" i="1"/>
  <c r="C281" i="1"/>
  <c r="E282" i="1"/>
  <c r="D283" i="1"/>
  <c r="F284" i="1"/>
  <c r="D286" i="1"/>
  <c r="B287" i="1"/>
  <c r="G287" i="1"/>
  <c r="B289" i="1"/>
  <c r="C290" i="1"/>
  <c r="F290" i="1"/>
  <c r="B292" i="1"/>
  <c r="E293" i="1"/>
  <c r="H293" i="1"/>
  <c r="A296" i="1"/>
  <c r="G298" i="1"/>
  <c r="D300" i="1"/>
  <c r="B301" i="1"/>
  <c r="H302" i="1"/>
  <c r="F303" i="1"/>
  <c r="C304" i="1"/>
  <c r="B305" i="1"/>
  <c r="B307" i="1"/>
  <c r="D307" i="1"/>
  <c r="F308" i="1"/>
  <c r="H309" i="1"/>
  <c r="H310" i="1"/>
  <c r="C312" i="1"/>
  <c r="C313" i="1"/>
  <c r="E314" i="1"/>
  <c r="G316" i="1"/>
  <c r="E317" i="1"/>
  <c r="G318" i="1"/>
  <c r="E319" i="1"/>
  <c r="C320" i="1"/>
  <c r="G321" i="1"/>
  <c r="C324" i="1"/>
  <c r="H324" i="1"/>
  <c r="E326" i="1"/>
  <c r="E327" i="1"/>
  <c r="C329" i="1"/>
  <c r="H329" i="1"/>
  <c r="E331" i="1"/>
  <c r="F333" i="1"/>
  <c r="H334" i="1"/>
  <c r="F335" i="1"/>
  <c r="A337" i="1"/>
  <c r="H338" i="1"/>
  <c r="F339" i="1"/>
  <c r="D340" i="1"/>
  <c r="A341" i="1"/>
  <c r="A342" i="1"/>
  <c r="E343" i="1"/>
  <c r="H344" i="1"/>
  <c r="A346" i="1"/>
  <c r="H346" i="1"/>
  <c r="E348" i="1"/>
  <c r="B349" i="1"/>
  <c r="A350" i="1"/>
  <c r="D350" i="1"/>
  <c r="E351" i="1"/>
  <c r="D352" i="1"/>
  <c r="E353" i="1"/>
  <c r="E354" i="1"/>
  <c r="F355" i="1"/>
  <c r="D356" i="1"/>
  <c r="G356" i="1"/>
  <c r="H357" i="1"/>
  <c r="F358" i="1"/>
  <c r="B359" i="1"/>
  <c r="F360" i="1"/>
  <c r="F361" i="1"/>
  <c r="B362" i="1"/>
  <c r="C1033" i="1"/>
  <c r="A1034" i="1"/>
  <c r="F1035" i="1"/>
  <c r="D1037" i="1"/>
  <c r="H1038" i="1"/>
  <c r="G1044" i="1"/>
  <c r="C1046" i="1"/>
  <c r="D1048" i="1"/>
  <c r="E1050" i="1"/>
  <c r="D1052" i="1"/>
  <c r="C1054" i="1"/>
  <c r="A1056" i="1"/>
  <c r="D1058" i="1"/>
  <c r="D1060" i="1"/>
  <c r="C1062" i="1"/>
  <c r="E1064" i="1"/>
  <c r="D1066" i="1"/>
  <c r="A1068" i="1"/>
  <c r="C1070" i="1"/>
  <c r="B1072" i="1"/>
  <c r="C1074" i="1"/>
  <c r="A1076" i="1"/>
  <c r="H1077" i="1"/>
  <c r="G1079" i="1"/>
  <c r="D1081" i="1"/>
  <c r="F1083" i="1"/>
  <c r="C1085" i="1"/>
  <c r="F1086" i="1"/>
  <c r="H1088" i="1"/>
  <c r="G1090" i="1"/>
  <c r="E1092" i="1"/>
  <c r="D1094" i="1"/>
  <c r="B1096" i="1"/>
  <c r="E1098" i="1"/>
  <c r="B1100" i="1"/>
  <c r="C1102" i="1"/>
  <c r="D1104" i="1"/>
  <c r="H1105" i="1"/>
  <c r="H1107" i="1"/>
  <c r="G1109" i="1"/>
  <c r="C1111" i="1"/>
  <c r="D1113" i="1"/>
  <c r="A1115" i="1"/>
  <c r="H1116" i="1"/>
  <c r="F1118" i="1"/>
  <c r="H1120" i="1"/>
  <c r="G1122" i="1"/>
  <c r="G1123" i="1"/>
  <c r="B1126" i="1"/>
  <c r="B1128" i="1"/>
  <c r="G1129" i="1"/>
  <c r="A1132" i="1"/>
  <c r="D1133" i="1"/>
  <c r="H1134" i="1"/>
  <c r="A1137" i="1"/>
  <c r="H1138" i="1"/>
  <c r="B1140" i="1"/>
  <c r="D1142" i="1"/>
  <c r="E1144" i="1"/>
  <c r="A1146" i="1"/>
  <c r="C1148" i="1"/>
  <c r="B1150" i="1"/>
  <c r="H1151" i="1"/>
  <c r="G1153" i="1"/>
  <c r="A1156" i="1"/>
  <c r="F1157" i="1"/>
  <c r="E1159" i="1"/>
  <c r="H1161" i="1"/>
  <c r="C1163" i="1"/>
  <c r="A1165" i="1"/>
  <c r="C1167" i="1"/>
  <c r="B1169" i="1"/>
  <c r="E1170" i="1"/>
  <c r="G1172" i="1"/>
  <c r="H1174" i="1"/>
  <c r="C1176" i="1"/>
  <c r="C1178" i="1"/>
  <c r="A1221" i="1"/>
  <c r="B1221" i="1"/>
  <c r="C1221" i="1"/>
  <c r="D1221" i="1"/>
  <c r="E1221" i="1"/>
  <c r="F1221" i="1"/>
  <c r="G1221" i="1"/>
  <c r="H1221" i="1"/>
  <c r="A1222" i="1"/>
  <c r="B1222" i="1"/>
  <c r="C1222" i="1"/>
  <c r="D1222" i="1"/>
  <c r="E1222" i="1"/>
  <c r="F1222" i="1"/>
  <c r="G1222" i="1"/>
  <c r="H1222" i="1"/>
  <c r="A1223" i="1"/>
  <c r="B1223" i="1"/>
  <c r="C1223" i="1"/>
  <c r="D1223" i="1"/>
  <c r="E1223" i="1"/>
  <c r="F1223" i="1"/>
  <c r="G1223" i="1"/>
  <c r="H1223" i="1"/>
  <c r="A1224" i="1"/>
  <c r="B1224" i="1"/>
  <c r="C1224" i="1"/>
  <c r="D1224" i="1"/>
  <c r="E1224" i="1"/>
  <c r="F1224" i="1"/>
  <c r="G1224" i="1"/>
  <c r="H1224" i="1"/>
  <c r="A1225" i="1"/>
  <c r="B1225" i="1"/>
  <c r="C1225" i="1"/>
  <c r="D1225" i="1"/>
  <c r="E1225" i="1"/>
  <c r="F1225" i="1"/>
  <c r="G1225" i="1"/>
  <c r="H1225" i="1"/>
  <c r="A1226" i="1"/>
  <c r="B1226" i="1"/>
  <c r="C1226" i="1"/>
  <c r="D1226" i="1"/>
  <c r="E1226" i="1"/>
  <c r="F1226" i="1"/>
  <c r="G1226" i="1"/>
  <c r="H1226" i="1"/>
  <c r="A1227" i="1"/>
  <c r="B1227" i="1"/>
  <c r="C1227" i="1"/>
  <c r="D1227" i="1"/>
  <c r="E1227" i="1"/>
  <c r="F1227" i="1"/>
  <c r="G1227" i="1"/>
  <c r="H1227" i="1"/>
  <c r="A1228" i="1"/>
  <c r="B1228" i="1"/>
  <c r="C1228" i="1"/>
  <c r="D1228" i="1"/>
  <c r="E1228" i="1"/>
  <c r="F1228" i="1"/>
  <c r="G1228" i="1"/>
  <c r="H1228" i="1"/>
  <c r="A1229" i="1"/>
  <c r="B1229" i="1"/>
  <c r="C1229" i="1"/>
  <c r="D1229" i="1"/>
  <c r="E1229" i="1"/>
  <c r="F1229" i="1"/>
  <c r="G1229" i="1"/>
  <c r="H1229" i="1"/>
  <c r="A1230" i="1"/>
  <c r="B1230" i="1"/>
  <c r="C1230" i="1"/>
  <c r="D1230" i="1"/>
  <c r="E1230" i="1"/>
  <c r="F1230" i="1"/>
  <c r="G1230" i="1"/>
  <c r="H1230" i="1"/>
  <c r="A1231" i="1"/>
  <c r="B1231" i="1"/>
  <c r="C1231" i="1"/>
  <c r="D1231" i="1"/>
  <c r="E1231" i="1"/>
  <c r="F1231" i="1"/>
  <c r="G1231" i="1"/>
  <c r="H1231" i="1"/>
  <c r="A1232" i="1"/>
  <c r="B1232" i="1"/>
  <c r="C1232" i="1"/>
  <c r="D1232" i="1"/>
  <c r="E1232" i="1"/>
  <c r="F1232" i="1"/>
  <c r="G1232" i="1"/>
  <c r="H1232" i="1"/>
  <c r="A1233" i="1"/>
  <c r="B1233" i="1"/>
  <c r="C1233" i="1"/>
  <c r="D1233" i="1"/>
  <c r="E1233" i="1"/>
  <c r="F1233" i="1"/>
  <c r="G1233" i="1"/>
  <c r="H1233" i="1"/>
  <c r="A1234" i="1"/>
  <c r="B1234" i="1"/>
  <c r="C1234" i="1"/>
  <c r="D1234" i="1"/>
  <c r="E1234" i="1"/>
  <c r="F1234" i="1"/>
  <c r="G1234" i="1"/>
  <c r="H1234" i="1"/>
  <c r="A1235" i="1"/>
  <c r="B1235" i="1"/>
  <c r="C1235" i="1"/>
  <c r="D1235" i="1"/>
  <c r="E1235" i="1"/>
  <c r="F1235" i="1"/>
  <c r="G1235" i="1"/>
  <c r="H1235" i="1"/>
  <c r="A1236" i="1"/>
  <c r="B1236" i="1"/>
  <c r="C1236" i="1"/>
  <c r="D1236" i="1"/>
  <c r="E1236" i="1"/>
  <c r="F1236" i="1"/>
  <c r="G1236" i="1"/>
  <c r="H1236" i="1"/>
  <c r="A1237" i="1"/>
  <c r="B1237" i="1"/>
  <c r="C1237" i="1"/>
  <c r="D1237" i="1"/>
  <c r="E1237" i="1"/>
  <c r="F1237" i="1"/>
  <c r="G1237" i="1"/>
  <c r="H1237" i="1"/>
  <c r="A1238" i="1"/>
  <c r="B1238" i="1"/>
  <c r="C1238" i="1"/>
  <c r="D1238" i="1"/>
  <c r="E1238" i="1"/>
  <c r="F1238" i="1"/>
  <c r="G1238" i="1"/>
  <c r="H1238" i="1"/>
  <c r="A1239" i="1"/>
  <c r="B1239" i="1"/>
  <c r="C1239" i="1"/>
  <c r="D1239" i="1"/>
  <c r="E1239" i="1"/>
  <c r="F1239" i="1"/>
  <c r="G1239" i="1"/>
  <c r="H1239" i="1"/>
  <c r="A1240" i="1"/>
  <c r="B1240" i="1"/>
  <c r="C1240" i="1"/>
  <c r="D1240" i="1"/>
  <c r="E1240" i="1"/>
  <c r="F1240" i="1"/>
  <c r="G1240" i="1"/>
  <c r="H1240" i="1"/>
  <c r="G10" i="1"/>
  <c r="D11" i="1"/>
  <c r="G11" i="1"/>
  <c r="C12" i="1"/>
  <c r="H12" i="1"/>
  <c r="E14" i="1"/>
  <c r="A15" i="1"/>
  <c r="F15" i="1"/>
  <c r="E16" i="1"/>
  <c r="B18" i="1"/>
  <c r="B19" i="1"/>
  <c r="H19" i="1"/>
  <c r="C20" i="1"/>
  <c r="D21" i="1"/>
  <c r="H21" i="1"/>
  <c r="D22" i="1"/>
  <c r="F22" i="1"/>
  <c r="A23" i="1"/>
  <c r="E23" i="1"/>
  <c r="C24" i="1"/>
  <c r="F24" i="1"/>
  <c r="A25" i="1"/>
  <c r="D25" i="1"/>
  <c r="A26" i="1"/>
  <c r="A27" i="1"/>
  <c r="G27" i="1"/>
  <c r="B28" i="1"/>
  <c r="F28" i="1"/>
  <c r="B30" i="1"/>
  <c r="H31" i="1"/>
  <c r="C32" i="1"/>
  <c r="B33" i="1"/>
  <c r="H33" i="1"/>
  <c r="C34" i="1"/>
  <c r="H34" i="1"/>
  <c r="E35" i="1"/>
  <c r="A36" i="1"/>
  <c r="D36" i="1"/>
  <c r="A37" i="1"/>
  <c r="D37" i="1"/>
  <c r="B38" i="1"/>
  <c r="H38" i="1"/>
  <c r="D39" i="1"/>
  <c r="A40" i="1"/>
  <c r="D40" i="1"/>
  <c r="A41" i="1"/>
  <c r="C41" i="1"/>
  <c r="F41" i="1"/>
  <c r="B42" i="1"/>
  <c r="D42" i="1"/>
  <c r="A43" i="1"/>
  <c r="D43" i="1"/>
  <c r="H43" i="1"/>
  <c r="D44" i="1"/>
  <c r="C45" i="1"/>
  <c r="G45" i="1"/>
  <c r="C46" i="1"/>
  <c r="H46" i="1"/>
  <c r="D47" i="1"/>
  <c r="A48" i="1"/>
  <c r="G48" i="1"/>
  <c r="C49" i="1"/>
  <c r="A50" i="1"/>
  <c r="E50" i="1"/>
  <c r="A51" i="1"/>
  <c r="H51" i="1"/>
  <c r="C52" i="1"/>
  <c r="B53" i="1"/>
  <c r="G53" i="1"/>
  <c r="E54" i="1"/>
  <c r="A55" i="1"/>
  <c r="C55" i="1"/>
  <c r="H55" i="1"/>
  <c r="C56" i="1"/>
  <c r="F56" i="1"/>
  <c r="B57" i="1"/>
  <c r="B58" i="1"/>
  <c r="H58" i="1"/>
  <c r="C59" i="1"/>
  <c r="F59" i="1"/>
  <c r="D60" i="1"/>
  <c r="B61" i="1"/>
  <c r="B62" i="1"/>
  <c r="E62" i="1"/>
  <c r="A63" i="1"/>
  <c r="F63" i="1"/>
  <c r="B64" i="1"/>
  <c r="G64" i="1"/>
  <c r="D65" i="1"/>
  <c r="G65" i="1"/>
  <c r="H66" i="1"/>
  <c r="C67" i="1"/>
  <c r="G67" i="1"/>
  <c r="B68" i="1"/>
  <c r="F68" i="1"/>
  <c r="B69" i="1"/>
  <c r="C70" i="1"/>
  <c r="B71" i="1"/>
  <c r="F71" i="1"/>
  <c r="H72" i="1"/>
  <c r="G73" i="1"/>
  <c r="D74" i="1"/>
  <c r="H74" i="1"/>
  <c r="E75" i="1"/>
  <c r="A76" i="1"/>
  <c r="E261" i="1"/>
  <c r="A262" i="1"/>
  <c r="D262" i="1"/>
  <c r="C263" i="1"/>
  <c r="H263" i="1"/>
  <c r="C264" i="1"/>
  <c r="H264" i="1"/>
  <c r="D265" i="1"/>
  <c r="G265" i="1"/>
  <c r="F267" i="1"/>
  <c r="C269" i="1"/>
  <c r="E273" i="1"/>
  <c r="D274" i="1"/>
  <c r="C276" i="1"/>
  <c r="G277" i="1"/>
  <c r="A279" i="1"/>
  <c r="G280" i="1"/>
  <c r="A282" i="1"/>
  <c r="B284" i="1"/>
  <c r="H285" i="1"/>
  <c r="G286" i="1"/>
  <c r="G288" i="1"/>
  <c r="G289" i="1"/>
  <c r="A291" i="1"/>
  <c r="B293" i="1"/>
  <c r="E295" i="1"/>
  <c r="G297" i="1"/>
  <c r="F299" i="1"/>
  <c r="G301" i="1"/>
  <c r="C303" i="1"/>
  <c r="G304" i="1"/>
  <c r="H305" i="1"/>
  <c r="G307" i="1"/>
  <c r="C309" i="1"/>
  <c r="D310" i="1"/>
  <c r="F312" i="1"/>
  <c r="H313" i="1"/>
  <c r="H315" i="1"/>
  <c r="A318" i="1"/>
  <c r="B319" i="1"/>
  <c r="B321" i="1"/>
  <c r="E322" i="1"/>
  <c r="A326" i="1"/>
  <c r="B327" i="1"/>
  <c r="B328" i="1"/>
  <c r="G330" i="1"/>
  <c r="A333" i="1"/>
  <c r="C335" i="1"/>
  <c r="C336" i="1"/>
  <c r="C339" i="1"/>
  <c r="B340" i="1"/>
  <c r="D341" i="1"/>
  <c r="B343" i="1"/>
  <c r="E345" i="1"/>
  <c r="E346" i="1"/>
  <c r="H347" i="1"/>
  <c r="E349" i="1"/>
  <c r="G350" i="1"/>
  <c r="A352" i="1"/>
  <c r="A353" i="1"/>
  <c r="B355" i="1"/>
  <c r="A356" i="1"/>
  <c r="C357" i="1"/>
  <c r="C358" i="1"/>
  <c r="C360" i="1"/>
  <c r="C361" i="1"/>
  <c r="A363" i="1"/>
  <c r="E1033" i="1"/>
  <c r="C1034" i="1"/>
  <c r="F1037" i="1"/>
  <c r="G1043" i="1"/>
  <c r="A1046" i="1"/>
  <c r="H1048" i="1"/>
  <c r="G1051" i="1"/>
  <c r="G1053" i="1"/>
  <c r="H1056" i="1"/>
  <c r="C1059" i="1"/>
  <c r="E1062" i="1"/>
  <c r="F1065" i="1"/>
  <c r="C1068" i="1"/>
  <c r="G1070" i="1"/>
  <c r="G1073" i="1"/>
  <c r="C1076" i="1"/>
  <c r="G1078" i="1"/>
  <c r="E1081" i="1"/>
  <c r="E1084" i="1"/>
  <c r="H1086" i="1"/>
  <c r="D1089" i="1"/>
  <c r="C1092" i="1"/>
  <c r="B1095" i="1"/>
  <c r="G1097" i="1"/>
  <c r="G1100" i="1"/>
  <c r="G1103" i="1"/>
  <c r="D1106" i="1"/>
  <c r="A1109" i="1"/>
  <c r="D1112" i="1"/>
  <c r="C1114" i="1"/>
  <c r="B1117" i="1"/>
  <c r="F1119" i="1"/>
  <c r="A1122" i="1"/>
  <c r="A1125" i="1"/>
  <c r="F1127" i="1"/>
  <c r="D1130" i="1"/>
  <c r="H1132" i="1"/>
  <c r="D1135" i="1"/>
  <c r="H1137" i="1"/>
  <c r="F1140" i="1"/>
  <c r="E1143" i="1"/>
  <c r="G1145" i="1"/>
  <c r="B1149" i="1"/>
  <c r="D1151" i="1"/>
  <c r="A1154" i="1"/>
  <c r="B1157" i="1"/>
  <c r="G1159" i="1"/>
  <c r="F1162" i="1"/>
  <c r="G1165" i="1"/>
  <c r="A1168" i="1"/>
  <c r="G1170" i="1"/>
  <c r="E1173" i="1"/>
  <c r="G1176" i="1"/>
  <c r="A1179" i="1"/>
  <c r="C363" i="1"/>
  <c r="C364" i="1"/>
  <c r="G364" i="1"/>
  <c r="B366" i="1"/>
  <c r="F366" i="1"/>
  <c r="B367" i="1"/>
  <c r="G367" i="1"/>
  <c r="C368" i="1"/>
  <c r="H368" i="1"/>
  <c r="D369" i="1"/>
  <c r="H369" i="1"/>
  <c r="H370" i="1"/>
  <c r="C371" i="1"/>
  <c r="G371" i="1"/>
  <c r="B372" i="1"/>
  <c r="E372" i="1"/>
  <c r="B373" i="1"/>
  <c r="H373" i="1"/>
  <c r="C374" i="1"/>
  <c r="F374" i="1"/>
  <c r="B375" i="1"/>
  <c r="A376" i="1"/>
  <c r="F376" i="1"/>
  <c r="D378" i="1"/>
  <c r="A380" i="1"/>
  <c r="D380" i="1"/>
  <c r="C383" i="1"/>
  <c r="A384" i="1"/>
  <c r="F384" i="1"/>
  <c r="C385" i="1"/>
  <c r="C386" i="1"/>
  <c r="G386" i="1"/>
  <c r="B387" i="1"/>
  <c r="F387" i="1"/>
  <c r="C388" i="1"/>
  <c r="B389" i="1"/>
  <c r="E389" i="1"/>
  <c r="B390" i="1"/>
  <c r="G390" i="1"/>
  <c r="E391" i="1"/>
  <c r="A392" i="1"/>
  <c r="E392" i="1"/>
  <c r="A393" i="1"/>
  <c r="G393" i="1"/>
  <c r="C394" i="1"/>
  <c r="B396" i="1"/>
  <c r="A398" i="1"/>
  <c r="E398" i="1"/>
  <c r="B399" i="1"/>
  <c r="F399" i="1"/>
  <c r="H514" i="1"/>
  <c r="E517" i="1"/>
  <c r="D518" i="1"/>
  <c r="C519" i="1"/>
  <c r="D520" i="1"/>
  <c r="G520" i="1"/>
  <c r="C521" i="1"/>
  <c r="H521" i="1"/>
  <c r="E522" i="1"/>
  <c r="A523" i="1"/>
  <c r="G523" i="1"/>
  <c r="E524" i="1"/>
  <c r="A525" i="1"/>
  <c r="F525" i="1"/>
  <c r="B526" i="1"/>
  <c r="D527" i="1"/>
  <c r="C528" i="1"/>
  <c r="H528" i="1"/>
  <c r="D529" i="1"/>
  <c r="F530" i="1"/>
  <c r="D531" i="1"/>
  <c r="A532" i="1"/>
  <c r="G532" i="1"/>
  <c r="E533" i="1"/>
  <c r="C534" i="1"/>
  <c r="A535" i="1"/>
  <c r="F535" i="1"/>
  <c r="H536" i="1"/>
  <c r="D537" i="1"/>
  <c r="B538" i="1"/>
  <c r="G538" i="1"/>
  <c r="C539" i="1"/>
  <c r="G539" i="1"/>
  <c r="B540" i="1"/>
  <c r="D541" i="1"/>
  <c r="C542" i="1"/>
  <c r="G543" i="1"/>
  <c r="C544" i="1"/>
  <c r="H544" i="1"/>
  <c r="E545" i="1"/>
  <c r="A546" i="1"/>
  <c r="A547" i="1"/>
  <c r="D548" i="1"/>
  <c r="G548" i="1"/>
  <c r="D549" i="1"/>
  <c r="B550" i="1"/>
  <c r="A552" i="1"/>
  <c r="A553" i="1"/>
  <c r="D553" i="1"/>
  <c r="G553" i="1"/>
  <c r="C554" i="1"/>
  <c r="H554" i="1"/>
  <c r="F555" i="1"/>
  <c r="E556" i="1"/>
  <c r="G557" i="1"/>
  <c r="C558" i="1"/>
  <c r="A559" i="1"/>
  <c r="A560" i="1"/>
  <c r="F644" i="1"/>
  <c r="F645" i="1"/>
  <c r="D647" i="1"/>
  <c r="A649" i="1"/>
  <c r="A650" i="1"/>
  <c r="E650" i="1"/>
  <c r="B651" i="1"/>
  <c r="F651" i="1"/>
  <c r="C652" i="1"/>
  <c r="G652" i="1"/>
  <c r="C654" i="1"/>
  <c r="F655" i="1"/>
  <c r="D657" i="1"/>
  <c r="D658" i="1"/>
  <c r="G658" i="1"/>
  <c r="A660" i="1"/>
  <c r="F660" i="1"/>
  <c r="E662" i="1"/>
  <c r="B663" i="1"/>
  <c r="E664" i="1"/>
  <c r="B665" i="1"/>
  <c r="B667" i="1"/>
  <c r="A668" i="1"/>
  <c r="H668" i="1"/>
  <c r="D669" i="1"/>
  <c r="A670" i="1"/>
  <c r="A671" i="1"/>
  <c r="G671" i="1"/>
  <c r="H672" i="1"/>
  <c r="E673" i="1"/>
  <c r="B674" i="1"/>
  <c r="H674" i="1"/>
  <c r="B676" i="1"/>
  <c r="G677" i="1"/>
  <c r="E678" i="1"/>
  <c r="E679" i="1"/>
  <c r="H680" i="1"/>
  <c r="C681" i="1"/>
  <c r="E681" i="1"/>
  <c r="F682" i="1"/>
  <c r="D683" i="1"/>
  <c r="E684" i="1"/>
  <c r="A685" i="1"/>
  <c r="H685" i="1"/>
  <c r="D686" i="1"/>
  <c r="B687" i="1"/>
  <c r="E768" i="1"/>
  <c r="H769" i="1"/>
  <c r="H770" i="1"/>
  <c r="H771" i="1"/>
  <c r="E772" i="1"/>
  <c r="H772" i="1"/>
  <c r="H773" i="1"/>
  <c r="D774" i="1"/>
  <c r="H774" i="1"/>
  <c r="F775" i="1"/>
  <c r="C776" i="1"/>
  <c r="A777" i="1"/>
  <c r="E777" i="1"/>
  <c r="B778" i="1"/>
  <c r="C779" i="1"/>
  <c r="A780" i="1"/>
  <c r="G780" i="1"/>
  <c r="C781" i="1"/>
  <c r="D782" i="1"/>
  <c r="D783" i="1"/>
  <c r="C784" i="1"/>
  <c r="B785" i="1"/>
  <c r="F786" i="1"/>
  <c r="B787" i="1"/>
  <c r="H787" i="1"/>
  <c r="E788" i="1"/>
  <c r="D789" i="1"/>
  <c r="H789" i="1"/>
  <c r="D790" i="1"/>
  <c r="C791" i="1"/>
  <c r="G791" i="1"/>
  <c r="E792" i="1"/>
  <c r="F793" i="1"/>
  <c r="C794" i="1"/>
  <c r="H794" i="1"/>
  <c r="D795" i="1"/>
  <c r="A796" i="1"/>
  <c r="F796" i="1"/>
  <c r="F797" i="1"/>
  <c r="C798" i="1"/>
  <c r="H798" i="1"/>
  <c r="E799" i="1"/>
  <c r="A800" i="1"/>
  <c r="F800" i="1"/>
  <c r="A801" i="1"/>
  <c r="D801" i="1"/>
  <c r="G801" i="1"/>
  <c r="C802" i="1"/>
  <c r="E802" i="1"/>
  <c r="H802" i="1"/>
  <c r="D803" i="1"/>
  <c r="G803" i="1"/>
  <c r="B804" i="1"/>
  <c r="E804" i="1"/>
  <c r="H804" i="1"/>
  <c r="E805" i="1"/>
  <c r="H805" i="1"/>
  <c r="D806" i="1"/>
  <c r="F806" i="1"/>
  <c r="A807" i="1"/>
  <c r="D807" i="1"/>
  <c r="G807" i="1"/>
  <c r="B808" i="1"/>
  <c r="E808" i="1"/>
  <c r="F808" i="1"/>
  <c r="A809" i="1"/>
  <c r="E809" i="1"/>
  <c r="F809" i="1"/>
  <c r="B810" i="1"/>
  <c r="E810" i="1"/>
  <c r="H810" i="1"/>
  <c r="B811" i="1"/>
  <c r="F811" i="1"/>
  <c r="G811" i="1"/>
  <c r="D812" i="1"/>
  <c r="F812" i="1"/>
  <c r="A813" i="1"/>
  <c r="D813" i="1"/>
  <c r="E813" i="1"/>
  <c r="H813" i="1"/>
  <c r="B814" i="1"/>
  <c r="G814" i="1"/>
  <c r="H814" i="1"/>
  <c r="C815" i="1"/>
  <c r="E815" i="1"/>
  <c r="B816" i="1"/>
  <c r="D816" i="1"/>
  <c r="H816" i="1"/>
  <c r="B817" i="1"/>
  <c r="G817" i="1"/>
  <c r="H817" i="1"/>
  <c r="C818" i="1"/>
  <c r="F818" i="1"/>
  <c r="H818" i="1"/>
  <c r="C819" i="1"/>
  <c r="F819" i="1"/>
  <c r="H819" i="1"/>
  <c r="C820" i="1"/>
  <c r="E820" i="1"/>
  <c r="A821" i="1"/>
  <c r="D821" i="1"/>
  <c r="G821" i="1"/>
  <c r="A822" i="1"/>
  <c r="D822" i="1"/>
  <c r="G822" i="1"/>
  <c r="A823" i="1"/>
  <c r="C823" i="1"/>
  <c r="E823" i="1"/>
  <c r="F823" i="1"/>
  <c r="H823" i="1"/>
  <c r="B824" i="1"/>
  <c r="D824" i="1"/>
  <c r="G824" i="1"/>
  <c r="B825" i="1"/>
  <c r="E825" i="1"/>
  <c r="A826" i="1"/>
  <c r="D826" i="1"/>
  <c r="G826" i="1"/>
  <c r="A827" i="1"/>
  <c r="D827" i="1"/>
  <c r="G827" i="1"/>
  <c r="B828" i="1"/>
  <c r="D828" i="1"/>
  <c r="G828" i="1"/>
  <c r="B829" i="1"/>
  <c r="E829" i="1"/>
  <c r="A830" i="1"/>
  <c r="C830" i="1"/>
  <c r="E830" i="1"/>
  <c r="H830" i="1"/>
  <c r="D831" i="1"/>
  <c r="E831" i="1"/>
  <c r="H831" i="1"/>
  <c r="C832" i="1"/>
  <c r="F832" i="1"/>
  <c r="H832" i="1"/>
  <c r="C833" i="1"/>
  <c r="G833" i="1"/>
  <c r="B834" i="1"/>
  <c r="E834" i="1"/>
  <c r="H834" i="1"/>
  <c r="C835" i="1"/>
  <c r="E835" i="1"/>
  <c r="H835" i="1"/>
  <c r="C836" i="1"/>
  <c r="E836" i="1"/>
  <c r="H836" i="1"/>
  <c r="C837" i="1"/>
  <c r="F837" i="1"/>
  <c r="A838" i="1"/>
  <c r="D838" i="1"/>
  <c r="G838" i="1"/>
  <c r="B839" i="1"/>
  <c r="E839" i="1"/>
  <c r="H839" i="1"/>
  <c r="C840" i="1"/>
  <c r="F840" i="1"/>
  <c r="A841" i="1"/>
  <c r="D841" i="1"/>
  <c r="G841" i="1"/>
  <c r="C842" i="1"/>
  <c r="G842" i="1"/>
  <c r="B843" i="1"/>
  <c r="E843" i="1"/>
  <c r="H843" i="1"/>
  <c r="B844" i="1"/>
  <c r="E844" i="1"/>
  <c r="H844" i="1"/>
  <c r="B845" i="1"/>
  <c r="E845" i="1"/>
  <c r="H845" i="1"/>
  <c r="C846" i="1"/>
  <c r="F846" i="1"/>
  <c r="A847" i="1"/>
  <c r="D847" i="1"/>
  <c r="G847" i="1"/>
  <c r="B848" i="1"/>
  <c r="D848" i="1"/>
  <c r="G848" i="1"/>
  <c r="B849" i="1"/>
  <c r="E849" i="1"/>
  <c r="H849" i="1"/>
  <c r="C850" i="1"/>
  <c r="D850" i="1"/>
  <c r="G850" i="1"/>
  <c r="A851" i="1"/>
  <c r="D851" i="1"/>
  <c r="F851" i="1"/>
  <c r="A852" i="1"/>
  <c r="D852" i="1"/>
  <c r="G852" i="1"/>
  <c r="B853" i="1"/>
  <c r="E853" i="1"/>
  <c r="H853" i="1"/>
  <c r="C854" i="1"/>
  <c r="F854" i="1"/>
  <c r="A855" i="1"/>
  <c r="F855" i="1"/>
  <c r="H855" i="1"/>
  <c r="C856" i="1"/>
  <c r="F856" i="1"/>
  <c r="H856" i="1"/>
  <c r="C857" i="1"/>
  <c r="F857" i="1"/>
  <c r="A858" i="1"/>
  <c r="D858" i="1"/>
  <c r="G858" i="1"/>
  <c r="A859" i="1"/>
  <c r="D859" i="1"/>
  <c r="H859" i="1"/>
  <c r="C860" i="1"/>
  <c r="F860" i="1"/>
  <c r="H860" i="1"/>
  <c r="C861" i="1"/>
  <c r="F861" i="1"/>
  <c r="H861" i="1"/>
  <c r="C862" i="1"/>
  <c r="F862" i="1"/>
  <c r="H862" i="1"/>
  <c r="C863" i="1"/>
  <c r="F863" i="1"/>
  <c r="A864" i="1"/>
  <c r="D864" i="1"/>
  <c r="G864" i="1"/>
  <c r="B865" i="1"/>
  <c r="E865" i="1"/>
  <c r="G865" i="1"/>
  <c r="B866" i="1"/>
  <c r="E866" i="1"/>
  <c r="H866" i="1"/>
  <c r="C867" i="1"/>
  <c r="F867" i="1"/>
  <c r="A868" i="1"/>
  <c r="C868" i="1"/>
  <c r="F868" i="1"/>
  <c r="H868" i="1"/>
  <c r="D869" i="1"/>
  <c r="G869" i="1"/>
  <c r="B870" i="1"/>
  <c r="F870" i="1"/>
  <c r="H870" i="1"/>
  <c r="D871" i="1"/>
  <c r="G871" i="1"/>
  <c r="A872" i="1"/>
  <c r="D872" i="1"/>
  <c r="G872" i="1"/>
  <c r="B873" i="1"/>
  <c r="D873" i="1"/>
  <c r="G873" i="1"/>
  <c r="B874" i="1"/>
  <c r="E874" i="1"/>
  <c r="H874" i="1"/>
  <c r="D875" i="1"/>
  <c r="F875" i="1"/>
  <c r="A876" i="1"/>
  <c r="D876" i="1"/>
  <c r="G876" i="1"/>
  <c r="A877" i="1"/>
  <c r="D877" i="1"/>
  <c r="G877" i="1"/>
  <c r="H877" i="1"/>
  <c r="D878" i="1"/>
  <c r="F878" i="1"/>
  <c r="B879" i="1"/>
  <c r="C879" i="1"/>
  <c r="F879" i="1"/>
  <c r="B880" i="1"/>
  <c r="D880" i="1"/>
  <c r="G880" i="1"/>
  <c r="H880" i="1"/>
  <c r="E881" i="1"/>
  <c r="G881" i="1"/>
  <c r="B882" i="1"/>
  <c r="C882" i="1"/>
  <c r="F882" i="1"/>
  <c r="H882" i="1"/>
  <c r="C883" i="1"/>
  <c r="F883" i="1"/>
  <c r="A884" i="1"/>
  <c r="D884" i="1"/>
  <c r="G884" i="1"/>
  <c r="C885" i="1"/>
  <c r="F885" i="1"/>
  <c r="A886" i="1"/>
  <c r="D886" i="1"/>
  <c r="F886" i="1"/>
  <c r="A887" i="1"/>
  <c r="D887" i="1"/>
  <c r="F887" i="1"/>
  <c r="A888" i="1"/>
  <c r="D888" i="1"/>
  <c r="G888" i="1"/>
  <c r="B889" i="1"/>
  <c r="C889" i="1"/>
  <c r="G889" i="1"/>
  <c r="B890" i="1"/>
  <c r="E890" i="1"/>
  <c r="H890" i="1"/>
  <c r="C891" i="1"/>
  <c r="E891" i="1"/>
  <c r="H891" i="1"/>
  <c r="C892" i="1"/>
  <c r="E892" i="1"/>
  <c r="A893" i="1"/>
  <c r="C893" i="1"/>
  <c r="G893" i="1"/>
  <c r="B894" i="1"/>
  <c r="E894" i="1"/>
  <c r="G894" i="1"/>
  <c r="C895" i="1"/>
  <c r="D895" i="1"/>
  <c r="A896" i="1"/>
  <c r="B896" i="1"/>
  <c r="F896" i="1"/>
  <c r="H896" i="1"/>
  <c r="D897" i="1"/>
  <c r="F897" i="1"/>
  <c r="B898" i="1"/>
  <c r="D898" i="1"/>
  <c r="H898" i="1"/>
  <c r="B899" i="1"/>
  <c r="E899" i="1"/>
  <c r="G899" i="1"/>
  <c r="B900" i="1"/>
  <c r="F900" i="1"/>
  <c r="A901" i="1"/>
  <c r="F1021" i="1"/>
  <c r="H1021" i="1"/>
  <c r="B1022" i="1"/>
  <c r="D1022" i="1"/>
  <c r="F1022" i="1"/>
  <c r="H1022" i="1"/>
  <c r="B1023" i="1"/>
  <c r="D1023" i="1"/>
  <c r="F1023" i="1"/>
  <c r="H1023" i="1"/>
  <c r="B1024" i="1"/>
  <c r="D1024" i="1"/>
  <c r="F1024" i="1"/>
  <c r="H1024" i="1"/>
  <c r="B1025" i="1"/>
  <c r="D1025" i="1"/>
  <c r="F1025" i="1"/>
  <c r="H1025" i="1"/>
  <c r="B1026" i="1"/>
  <c r="D1026" i="1"/>
  <c r="F1026" i="1"/>
  <c r="H1026" i="1"/>
  <c r="B1027" i="1"/>
  <c r="D1027" i="1"/>
  <c r="F1027" i="1"/>
  <c r="H1027" i="1"/>
  <c r="C10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Roberto Russell</author>
  </authors>
  <commentList>
    <comment ref="F80" authorId="0" shapeId="0" xr:uid="{00000000-0006-0000-0200-000001000000}">
      <text>
        <r>
          <rPr>
            <sz val="11"/>
            <color theme="1"/>
            <rFont val="Calibri"/>
            <family val="2"/>
            <charset val="1"/>
          </rPr>
          <t>Roberto Russell:
Validar creación código importado.</t>
        </r>
      </text>
    </comment>
    <comment ref="F81" authorId="0" shapeId="0" xr:uid="{00000000-0006-0000-0200-000002000000}">
      <text>
        <r>
          <rPr>
            <sz val="11"/>
            <color theme="1"/>
            <rFont val="Calibri"/>
            <family val="2"/>
            <charset val="1"/>
          </rPr>
          <t>Roberto Russell:
Validar creación código importado.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Roberto Russell</author>
  </authors>
  <commentList>
    <comment ref="F71" authorId="0" shapeId="0" xr:uid="{00000000-0006-0000-0500-000001000000}">
      <text>
        <r>
          <rPr>
            <sz val="11"/>
            <color theme="1"/>
            <rFont val="Calibri"/>
            <family val="2"/>
            <charset val="1"/>
          </rPr>
          <t>Roberto Russell:
Validar creación código importado.</t>
        </r>
      </text>
    </comment>
    <comment ref="F72" authorId="0" shapeId="0" xr:uid="{00000000-0006-0000-0500-000002000000}">
      <text>
        <r>
          <rPr>
            <sz val="11"/>
            <color theme="1"/>
            <rFont val="Calibri"/>
            <family val="2"/>
            <charset val="1"/>
          </rPr>
          <t>Roberto Russell:
Validar creación código importado.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70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  <bk>
      <extLst>
        <ext uri="{3e2802c4-a4d2-4d8b-9148-e3be6c30e623}">
          <xlrd:rvb i="71"/>
        </ext>
      </extLst>
    </bk>
    <bk>
      <extLst>
        <ext uri="{3e2802c4-a4d2-4d8b-9148-e3be6c30e623}">
          <xlrd:rvb i="72"/>
        </ext>
      </extLst>
    </bk>
    <bk>
      <extLst>
        <ext uri="{3e2802c4-a4d2-4d8b-9148-e3be6c30e623}">
          <xlrd:rvb i="73"/>
        </ext>
      </extLst>
    </bk>
    <bk>
      <extLst>
        <ext uri="{3e2802c4-a4d2-4d8b-9148-e3be6c30e623}">
          <xlrd:rvb i="74"/>
        </ext>
      </extLst>
    </bk>
    <bk>
      <extLst>
        <ext uri="{3e2802c4-a4d2-4d8b-9148-e3be6c30e623}">
          <xlrd:rvb i="75"/>
        </ext>
      </extLst>
    </bk>
    <bk>
      <extLst>
        <ext uri="{3e2802c4-a4d2-4d8b-9148-e3be6c30e623}">
          <xlrd:rvb i="76"/>
        </ext>
      </extLst>
    </bk>
    <bk>
      <extLst>
        <ext uri="{3e2802c4-a4d2-4d8b-9148-e3be6c30e623}">
          <xlrd:rvb i="77"/>
        </ext>
      </extLst>
    </bk>
    <bk>
      <extLst>
        <ext uri="{3e2802c4-a4d2-4d8b-9148-e3be6c30e623}">
          <xlrd:rvb i="78"/>
        </ext>
      </extLst>
    </bk>
    <bk>
      <extLst>
        <ext uri="{3e2802c4-a4d2-4d8b-9148-e3be6c30e623}">
          <xlrd:rvb i="79"/>
        </ext>
      </extLst>
    </bk>
    <bk>
      <extLst>
        <ext uri="{3e2802c4-a4d2-4d8b-9148-e3be6c30e623}">
          <xlrd:rvb i="80"/>
        </ext>
      </extLst>
    </bk>
    <bk>
      <extLst>
        <ext uri="{3e2802c4-a4d2-4d8b-9148-e3be6c30e623}">
          <xlrd:rvb i="81"/>
        </ext>
      </extLst>
    </bk>
    <bk>
      <extLst>
        <ext uri="{3e2802c4-a4d2-4d8b-9148-e3be6c30e623}">
          <xlrd:rvb i="82"/>
        </ext>
      </extLst>
    </bk>
    <bk>
      <extLst>
        <ext uri="{3e2802c4-a4d2-4d8b-9148-e3be6c30e623}">
          <xlrd:rvb i="83"/>
        </ext>
      </extLst>
    </bk>
    <bk>
      <extLst>
        <ext uri="{3e2802c4-a4d2-4d8b-9148-e3be6c30e623}">
          <xlrd:rvb i="84"/>
        </ext>
      </extLst>
    </bk>
    <bk>
      <extLst>
        <ext uri="{3e2802c4-a4d2-4d8b-9148-e3be6c30e623}">
          <xlrd:rvb i="85"/>
        </ext>
      </extLst>
    </bk>
    <bk>
      <extLst>
        <ext uri="{3e2802c4-a4d2-4d8b-9148-e3be6c30e623}">
          <xlrd:rvb i="86"/>
        </ext>
      </extLst>
    </bk>
    <bk>
      <extLst>
        <ext uri="{3e2802c4-a4d2-4d8b-9148-e3be6c30e623}">
          <xlrd:rvb i="87"/>
        </ext>
      </extLst>
    </bk>
    <bk>
      <extLst>
        <ext uri="{3e2802c4-a4d2-4d8b-9148-e3be6c30e623}">
          <xlrd:rvb i="88"/>
        </ext>
      </extLst>
    </bk>
    <bk>
      <extLst>
        <ext uri="{3e2802c4-a4d2-4d8b-9148-e3be6c30e623}">
          <xlrd:rvb i="89"/>
        </ext>
      </extLst>
    </bk>
    <bk>
      <extLst>
        <ext uri="{3e2802c4-a4d2-4d8b-9148-e3be6c30e623}">
          <xlrd:rvb i="90"/>
        </ext>
      </extLst>
    </bk>
    <bk>
      <extLst>
        <ext uri="{3e2802c4-a4d2-4d8b-9148-e3be6c30e623}">
          <xlrd:rvb i="91"/>
        </ext>
      </extLst>
    </bk>
    <bk>
      <extLst>
        <ext uri="{3e2802c4-a4d2-4d8b-9148-e3be6c30e623}">
          <xlrd:rvb i="92"/>
        </ext>
      </extLst>
    </bk>
    <bk>
      <extLst>
        <ext uri="{3e2802c4-a4d2-4d8b-9148-e3be6c30e623}">
          <xlrd:rvb i="93"/>
        </ext>
      </extLst>
    </bk>
    <bk>
      <extLst>
        <ext uri="{3e2802c4-a4d2-4d8b-9148-e3be6c30e623}">
          <xlrd:rvb i="94"/>
        </ext>
      </extLst>
    </bk>
    <bk>
      <extLst>
        <ext uri="{3e2802c4-a4d2-4d8b-9148-e3be6c30e623}">
          <xlrd:rvb i="95"/>
        </ext>
      </extLst>
    </bk>
    <bk>
      <extLst>
        <ext uri="{3e2802c4-a4d2-4d8b-9148-e3be6c30e623}">
          <xlrd:rvb i="96"/>
        </ext>
      </extLst>
    </bk>
    <bk>
      <extLst>
        <ext uri="{3e2802c4-a4d2-4d8b-9148-e3be6c30e623}">
          <xlrd:rvb i="97"/>
        </ext>
      </extLst>
    </bk>
    <bk>
      <extLst>
        <ext uri="{3e2802c4-a4d2-4d8b-9148-e3be6c30e623}">
          <xlrd:rvb i="98"/>
        </ext>
      </extLst>
    </bk>
    <bk>
      <extLst>
        <ext uri="{3e2802c4-a4d2-4d8b-9148-e3be6c30e623}">
          <xlrd:rvb i="99"/>
        </ext>
      </extLst>
    </bk>
    <bk>
      <extLst>
        <ext uri="{3e2802c4-a4d2-4d8b-9148-e3be6c30e623}">
          <xlrd:rvb i="100"/>
        </ext>
      </extLst>
    </bk>
    <bk>
      <extLst>
        <ext uri="{3e2802c4-a4d2-4d8b-9148-e3be6c30e623}">
          <xlrd:rvb i="101"/>
        </ext>
      </extLst>
    </bk>
    <bk>
      <extLst>
        <ext uri="{3e2802c4-a4d2-4d8b-9148-e3be6c30e623}">
          <xlrd:rvb i="102"/>
        </ext>
      </extLst>
    </bk>
    <bk>
      <extLst>
        <ext uri="{3e2802c4-a4d2-4d8b-9148-e3be6c30e623}">
          <xlrd:rvb i="103"/>
        </ext>
      </extLst>
    </bk>
    <bk>
      <extLst>
        <ext uri="{3e2802c4-a4d2-4d8b-9148-e3be6c30e623}">
          <xlrd:rvb i="104"/>
        </ext>
      </extLst>
    </bk>
    <bk>
      <extLst>
        <ext uri="{3e2802c4-a4d2-4d8b-9148-e3be6c30e623}">
          <xlrd:rvb i="105"/>
        </ext>
      </extLst>
    </bk>
    <bk>
      <extLst>
        <ext uri="{3e2802c4-a4d2-4d8b-9148-e3be6c30e623}">
          <xlrd:rvb i="106"/>
        </ext>
      </extLst>
    </bk>
    <bk>
      <extLst>
        <ext uri="{3e2802c4-a4d2-4d8b-9148-e3be6c30e623}">
          <xlrd:rvb i="107"/>
        </ext>
      </extLst>
    </bk>
    <bk>
      <extLst>
        <ext uri="{3e2802c4-a4d2-4d8b-9148-e3be6c30e623}">
          <xlrd:rvb i="108"/>
        </ext>
      </extLst>
    </bk>
    <bk>
      <extLst>
        <ext uri="{3e2802c4-a4d2-4d8b-9148-e3be6c30e623}">
          <xlrd:rvb i="109"/>
        </ext>
      </extLst>
    </bk>
    <bk>
      <extLst>
        <ext uri="{3e2802c4-a4d2-4d8b-9148-e3be6c30e623}">
          <xlrd:rvb i="110"/>
        </ext>
      </extLst>
    </bk>
    <bk>
      <extLst>
        <ext uri="{3e2802c4-a4d2-4d8b-9148-e3be6c30e623}">
          <xlrd:rvb i="111"/>
        </ext>
      </extLst>
    </bk>
    <bk>
      <extLst>
        <ext uri="{3e2802c4-a4d2-4d8b-9148-e3be6c30e623}">
          <xlrd:rvb i="112"/>
        </ext>
      </extLst>
    </bk>
    <bk>
      <extLst>
        <ext uri="{3e2802c4-a4d2-4d8b-9148-e3be6c30e623}">
          <xlrd:rvb i="113"/>
        </ext>
      </extLst>
    </bk>
    <bk>
      <extLst>
        <ext uri="{3e2802c4-a4d2-4d8b-9148-e3be6c30e623}">
          <xlrd:rvb i="114"/>
        </ext>
      </extLst>
    </bk>
    <bk>
      <extLst>
        <ext uri="{3e2802c4-a4d2-4d8b-9148-e3be6c30e623}">
          <xlrd:rvb i="115"/>
        </ext>
      </extLst>
    </bk>
    <bk>
      <extLst>
        <ext uri="{3e2802c4-a4d2-4d8b-9148-e3be6c30e623}">
          <xlrd:rvb i="116"/>
        </ext>
      </extLst>
    </bk>
    <bk>
      <extLst>
        <ext uri="{3e2802c4-a4d2-4d8b-9148-e3be6c30e623}">
          <xlrd:rvb i="117"/>
        </ext>
      </extLst>
    </bk>
    <bk>
      <extLst>
        <ext uri="{3e2802c4-a4d2-4d8b-9148-e3be6c30e623}">
          <xlrd:rvb i="118"/>
        </ext>
      </extLst>
    </bk>
    <bk>
      <extLst>
        <ext uri="{3e2802c4-a4d2-4d8b-9148-e3be6c30e623}">
          <xlrd:rvb i="119"/>
        </ext>
      </extLst>
    </bk>
    <bk>
      <extLst>
        <ext uri="{3e2802c4-a4d2-4d8b-9148-e3be6c30e623}">
          <xlrd:rvb i="120"/>
        </ext>
      </extLst>
    </bk>
    <bk>
      <extLst>
        <ext uri="{3e2802c4-a4d2-4d8b-9148-e3be6c30e623}">
          <xlrd:rvb i="121"/>
        </ext>
      </extLst>
    </bk>
    <bk>
      <extLst>
        <ext uri="{3e2802c4-a4d2-4d8b-9148-e3be6c30e623}">
          <xlrd:rvb i="122"/>
        </ext>
      </extLst>
    </bk>
    <bk>
      <extLst>
        <ext uri="{3e2802c4-a4d2-4d8b-9148-e3be6c30e623}">
          <xlrd:rvb i="123"/>
        </ext>
      </extLst>
    </bk>
    <bk>
      <extLst>
        <ext uri="{3e2802c4-a4d2-4d8b-9148-e3be6c30e623}">
          <xlrd:rvb i="124"/>
        </ext>
      </extLst>
    </bk>
    <bk>
      <extLst>
        <ext uri="{3e2802c4-a4d2-4d8b-9148-e3be6c30e623}">
          <xlrd:rvb i="125"/>
        </ext>
      </extLst>
    </bk>
    <bk>
      <extLst>
        <ext uri="{3e2802c4-a4d2-4d8b-9148-e3be6c30e623}">
          <xlrd:rvb i="126"/>
        </ext>
      </extLst>
    </bk>
    <bk>
      <extLst>
        <ext uri="{3e2802c4-a4d2-4d8b-9148-e3be6c30e623}">
          <xlrd:rvb i="127"/>
        </ext>
      </extLst>
    </bk>
    <bk>
      <extLst>
        <ext uri="{3e2802c4-a4d2-4d8b-9148-e3be6c30e623}">
          <xlrd:rvb i="128"/>
        </ext>
      </extLst>
    </bk>
    <bk>
      <extLst>
        <ext uri="{3e2802c4-a4d2-4d8b-9148-e3be6c30e623}">
          <xlrd:rvb i="129"/>
        </ext>
      </extLst>
    </bk>
    <bk>
      <extLst>
        <ext uri="{3e2802c4-a4d2-4d8b-9148-e3be6c30e623}">
          <xlrd:rvb i="130"/>
        </ext>
      </extLst>
    </bk>
    <bk>
      <extLst>
        <ext uri="{3e2802c4-a4d2-4d8b-9148-e3be6c30e623}">
          <xlrd:rvb i="131"/>
        </ext>
      </extLst>
    </bk>
    <bk>
      <extLst>
        <ext uri="{3e2802c4-a4d2-4d8b-9148-e3be6c30e623}">
          <xlrd:rvb i="132"/>
        </ext>
      </extLst>
    </bk>
    <bk>
      <extLst>
        <ext uri="{3e2802c4-a4d2-4d8b-9148-e3be6c30e623}">
          <xlrd:rvb i="133"/>
        </ext>
      </extLst>
    </bk>
    <bk>
      <extLst>
        <ext uri="{3e2802c4-a4d2-4d8b-9148-e3be6c30e623}">
          <xlrd:rvb i="134"/>
        </ext>
      </extLst>
    </bk>
    <bk>
      <extLst>
        <ext uri="{3e2802c4-a4d2-4d8b-9148-e3be6c30e623}">
          <xlrd:rvb i="135"/>
        </ext>
      </extLst>
    </bk>
    <bk>
      <extLst>
        <ext uri="{3e2802c4-a4d2-4d8b-9148-e3be6c30e623}">
          <xlrd:rvb i="136"/>
        </ext>
      </extLst>
    </bk>
    <bk>
      <extLst>
        <ext uri="{3e2802c4-a4d2-4d8b-9148-e3be6c30e623}">
          <xlrd:rvb i="137"/>
        </ext>
      </extLst>
    </bk>
    <bk>
      <extLst>
        <ext uri="{3e2802c4-a4d2-4d8b-9148-e3be6c30e623}">
          <xlrd:rvb i="138"/>
        </ext>
      </extLst>
    </bk>
    <bk>
      <extLst>
        <ext uri="{3e2802c4-a4d2-4d8b-9148-e3be6c30e623}">
          <xlrd:rvb i="139"/>
        </ext>
      </extLst>
    </bk>
    <bk>
      <extLst>
        <ext uri="{3e2802c4-a4d2-4d8b-9148-e3be6c30e623}">
          <xlrd:rvb i="140"/>
        </ext>
      </extLst>
    </bk>
    <bk>
      <extLst>
        <ext uri="{3e2802c4-a4d2-4d8b-9148-e3be6c30e623}">
          <xlrd:rvb i="141"/>
        </ext>
      </extLst>
    </bk>
    <bk>
      <extLst>
        <ext uri="{3e2802c4-a4d2-4d8b-9148-e3be6c30e623}">
          <xlrd:rvb i="142"/>
        </ext>
      </extLst>
    </bk>
    <bk>
      <extLst>
        <ext uri="{3e2802c4-a4d2-4d8b-9148-e3be6c30e623}">
          <xlrd:rvb i="143"/>
        </ext>
      </extLst>
    </bk>
    <bk>
      <extLst>
        <ext uri="{3e2802c4-a4d2-4d8b-9148-e3be6c30e623}">
          <xlrd:rvb i="144"/>
        </ext>
      </extLst>
    </bk>
    <bk>
      <extLst>
        <ext uri="{3e2802c4-a4d2-4d8b-9148-e3be6c30e623}">
          <xlrd:rvb i="145"/>
        </ext>
      </extLst>
    </bk>
    <bk>
      <extLst>
        <ext uri="{3e2802c4-a4d2-4d8b-9148-e3be6c30e623}">
          <xlrd:rvb i="146"/>
        </ext>
      </extLst>
    </bk>
    <bk>
      <extLst>
        <ext uri="{3e2802c4-a4d2-4d8b-9148-e3be6c30e623}">
          <xlrd:rvb i="147"/>
        </ext>
      </extLst>
    </bk>
    <bk>
      <extLst>
        <ext uri="{3e2802c4-a4d2-4d8b-9148-e3be6c30e623}">
          <xlrd:rvb i="148"/>
        </ext>
      </extLst>
    </bk>
    <bk>
      <extLst>
        <ext uri="{3e2802c4-a4d2-4d8b-9148-e3be6c30e623}">
          <xlrd:rvb i="149"/>
        </ext>
      </extLst>
    </bk>
    <bk>
      <extLst>
        <ext uri="{3e2802c4-a4d2-4d8b-9148-e3be6c30e623}">
          <xlrd:rvb i="150"/>
        </ext>
      </extLst>
    </bk>
    <bk>
      <extLst>
        <ext uri="{3e2802c4-a4d2-4d8b-9148-e3be6c30e623}">
          <xlrd:rvb i="151"/>
        </ext>
      </extLst>
    </bk>
    <bk>
      <extLst>
        <ext uri="{3e2802c4-a4d2-4d8b-9148-e3be6c30e623}">
          <xlrd:rvb i="152"/>
        </ext>
      </extLst>
    </bk>
    <bk>
      <extLst>
        <ext uri="{3e2802c4-a4d2-4d8b-9148-e3be6c30e623}">
          <xlrd:rvb i="153"/>
        </ext>
      </extLst>
    </bk>
    <bk>
      <extLst>
        <ext uri="{3e2802c4-a4d2-4d8b-9148-e3be6c30e623}">
          <xlrd:rvb i="154"/>
        </ext>
      </extLst>
    </bk>
    <bk>
      <extLst>
        <ext uri="{3e2802c4-a4d2-4d8b-9148-e3be6c30e623}">
          <xlrd:rvb i="155"/>
        </ext>
      </extLst>
    </bk>
    <bk>
      <extLst>
        <ext uri="{3e2802c4-a4d2-4d8b-9148-e3be6c30e623}">
          <xlrd:rvb i="156"/>
        </ext>
      </extLst>
    </bk>
    <bk>
      <extLst>
        <ext uri="{3e2802c4-a4d2-4d8b-9148-e3be6c30e623}">
          <xlrd:rvb i="157"/>
        </ext>
      </extLst>
    </bk>
    <bk>
      <extLst>
        <ext uri="{3e2802c4-a4d2-4d8b-9148-e3be6c30e623}">
          <xlrd:rvb i="158"/>
        </ext>
      </extLst>
    </bk>
    <bk>
      <extLst>
        <ext uri="{3e2802c4-a4d2-4d8b-9148-e3be6c30e623}">
          <xlrd:rvb i="159"/>
        </ext>
      </extLst>
    </bk>
    <bk>
      <extLst>
        <ext uri="{3e2802c4-a4d2-4d8b-9148-e3be6c30e623}">
          <xlrd:rvb i="160"/>
        </ext>
      </extLst>
    </bk>
    <bk>
      <extLst>
        <ext uri="{3e2802c4-a4d2-4d8b-9148-e3be6c30e623}">
          <xlrd:rvb i="161"/>
        </ext>
      </extLst>
    </bk>
    <bk>
      <extLst>
        <ext uri="{3e2802c4-a4d2-4d8b-9148-e3be6c30e623}">
          <xlrd:rvb i="162"/>
        </ext>
      </extLst>
    </bk>
    <bk>
      <extLst>
        <ext uri="{3e2802c4-a4d2-4d8b-9148-e3be6c30e623}">
          <xlrd:rvb i="163"/>
        </ext>
      </extLst>
    </bk>
    <bk>
      <extLst>
        <ext uri="{3e2802c4-a4d2-4d8b-9148-e3be6c30e623}">
          <xlrd:rvb i="164"/>
        </ext>
      </extLst>
    </bk>
    <bk>
      <extLst>
        <ext uri="{3e2802c4-a4d2-4d8b-9148-e3be6c30e623}">
          <xlrd:rvb i="165"/>
        </ext>
      </extLst>
    </bk>
    <bk>
      <extLst>
        <ext uri="{3e2802c4-a4d2-4d8b-9148-e3be6c30e623}">
          <xlrd:rvb i="166"/>
        </ext>
      </extLst>
    </bk>
    <bk>
      <extLst>
        <ext uri="{3e2802c4-a4d2-4d8b-9148-e3be6c30e623}">
          <xlrd:rvb i="167"/>
        </ext>
      </extLst>
    </bk>
    <bk>
      <extLst>
        <ext uri="{3e2802c4-a4d2-4d8b-9148-e3be6c30e623}">
          <xlrd:rvb i="168"/>
        </ext>
      </extLst>
    </bk>
    <bk>
      <extLst>
        <ext uri="{3e2802c4-a4d2-4d8b-9148-e3be6c30e623}">
          <xlrd:rvb i="169"/>
        </ext>
      </extLst>
    </bk>
    <bk>
      <extLst>
        <ext uri="{3e2802c4-a4d2-4d8b-9148-e3be6c30e623}">
          <xlrd:rvb i="170"/>
        </ext>
      </extLst>
    </bk>
    <bk>
      <extLst>
        <ext uri="{3e2802c4-a4d2-4d8b-9148-e3be6c30e623}">
          <xlrd:rvb i="171"/>
        </ext>
      </extLst>
    </bk>
    <bk>
      <extLst>
        <ext uri="{3e2802c4-a4d2-4d8b-9148-e3be6c30e623}">
          <xlrd:rvb i="172"/>
        </ext>
      </extLst>
    </bk>
    <bk>
      <extLst>
        <ext uri="{3e2802c4-a4d2-4d8b-9148-e3be6c30e623}">
          <xlrd:rvb i="173"/>
        </ext>
      </extLst>
    </bk>
    <bk>
      <extLst>
        <ext uri="{3e2802c4-a4d2-4d8b-9148-e3be6c30e623}">
          <xlrd:rvb i="174"/>
        </ext>
      </extLst>
    </bk>
    <bk>
      <extLst>
        <ext uri="{3e2802c4-a4d2-4d8b-9148-e3be6c30e623}">
          <xlrd:rvb i="175"/>
        </ext>
      </extLst>
    </bk>
    <bk>
      <extLst>
        <ext uri="{3e2802c4-a4d2-4d8b-9148-e3be6c30e623}">
          <xlrd:rvb i="176"/>
        </ext>
      </extLst>
    </bk>
    <bk>
      <extLst>
        <ext uri="{3e2802c4-a4d2-4d8b-9148-e3be6c30e623}">
          <xlrd:rvb i="177"/>
        </ext>
      </extLst>
    </bk>
    <bk>
      <extLst>
        <ext uri="{3e2802c4-a4d2-4d8b-9148-e3be6c30e623}">
          <xlrd:rvb i="178"/>
        </ext>
      </extLst>
    </bk>
    <bk>
      <extLst>
        <ext uri="{3e2802c4-a4d2-4d8b-9148-e3be6c30e623}">
          <xlrd:rvb i="179"/>
        </ext>
      </extLst>
    </bk>
    <bk>
      <extLst>
        <ext uri="{3e2802c4-a4d2-4d8b-9148-e3be6c30e623}">
          <xlrd:rvb i="180"/>
        </ext>
      </extLst>
    </bk>
    <bk>
      <extLst>
        <ext uri="{3e2802c4-a4d2-4d8b-9148-e3be6c30e623}">
          <xlrd:rvb i="181"/>
        </ext>
      </extLst>
    </bk>
    <bk>
      <extLst>
        <ext uri="{3e2802c4-a4d2-4d8b-9148-e3be6c30e623}">
          <xlrd:rvb i="182"/>
        </ext>
      </extLst>
    </bk>
    <bk>
      <extLst>
        <ext uri="{3e2802c4-a4d2-4d8b-9148-e3be6c30e623}">
          <xlrd:rvb i="183"/>
        </ext>
      </extLst>
    </bk>
    <bk>
      <extLst>
        <ext uri="{3e2802c4-a4d2-4d8b-9148-e3be6c30e623}">
          <xlrd:rvb i="184"/>
        </ext>
      </extLst>
    </bk>
    <bk>
      <extLst>
        <ext uri="{3e2802c4-a4d2-4d8b-9148-e3be6c30e623}">
          <xlrd:rvb i="185"/>
        </ext>
      </extLst>
    </bk>
    <bk>
      <extLst>
        <ext uri="{3e2802c4-a4d2-4d8b-9148-e3be6c30e623}">
          <xlrd:rvb i="186"/>
        </ext>
      </extLst>
    </bk>
    <bk>
      <extLst>
        <ext uri="{3e2802c4-a4d2-4d8b-9148-e3be6c30e623}">
          <xlrd:rvb i="187"/>
        </ext>
      </extLst>
    </bk>
    <bk>
      <extLst>
        <ext uri="{3e2802c4-a4d2-4d8b-9148-e3be6c30e623}">
          <xlrd:rvb i="188"/>
        </ext>
      </extLst>
    </bk>
    <bk>
      <extLst>
        <ext uri="{3e2802c4-a4d2-4d8b-9148-e3be6c30e623}">
          <xlrd:rvb i="189"/>
        </ext>
      </extLst>
    </bk>
    <bk>
      <extLst>
        <ext uri="{3e2802c4-a4d2-4d8b-9148-e3be6c30e623}">
          <xlrd:rvb i="190"/>
        </ext>
      </extLst>
    </bk>
    <bk>
      <extLst>
        <ext uri="{3e2802c4-a4d2-4d8b-9148-e3be6c30e623}">
          <xlrd:rvb i="191"/>
        </ext>
      </extLst>
    </bk>
    <bk>
      <extLst>
        <ext uri="{3e2802c4-a4d2-4d8b-9148-e3be6c30e623}">
          <xlrd:rvb i="192"/>
        </ext>
      </extLst>
    </bk>
    <bk>
      <extLst>
        <ext uri="{3e2802c4-a4d2-4d8b-9148-e3be6c30e623}">
          <xlrd:rvb i="193"/>
        </ext>
      </extLst>
    </bk>
    <bk>
      <extLst>
        <ext uri="{3e2802c4-a4d2-4d8b-9148-e3be6c30e623}">
          <xlrd:rvb i="194"/>
        </ext>
      </extLst>
    </bk>
    <bk>
      <extLst>
        <ext uri="{3e2802c4-a4d2-4d8b-9148-e3be6c30e623}">
          <xlrd:rvb i="195"/>
        </ext>
      </extLst>
    </bk>
    <bk>
      <extLst>
        <ext uri="{3e2802c4-a4d2-4d8b-9148-e3be6c30e623}">
          <xlrd:rvb i="196"/>
        </ext>
      </extLst>
    </bk>
    <bk>
      <extLst>
        <ext uri="{3e2802c4-a4d2-4d8b-9148-e3be6c30e623}">
          <xlrd:rvb i="197"/>
        </ext>
      </extLst>
    </bk>
    <bk>
      <extLst>
        <ext uri="{3e2802c4-a4d2-4d8b-9148-e3be6c30e623}">
          <xlrd:rvb i="198"/>
        </ext>
      </extLst>
    </bk>
    <bk>
      <extLst>
        <ext uri="{3e2802c4-a4d2-4d8b-9148-e3be6c30e623}">
          <xlrd:rvb i="199"/>
        </ext>
      </extLst>
    </bk>
    <bk>
      <extLst>
        <ext uri="{3e2802c4-a4d2-4d8b-9148-e3be6c30e623}">
          <xlrd:rvb i="200"/>
        </ext>
      </extLst>
    </bk>
    <bk>
      <extLst>
        <ext uri="{3e2802c4-a4d2-4d8b-9148-e3be6c30e623}">
          <xlrd:rvb i="201"/>
        </ext>
      </extLst>
    </bk>
    <bk>
      <extLst>
        <ext uri="{3e2802c4-a4d2-4d8b-9148-e3be6c30e623}">
          <xlrd:rvb i="202"/>
        </ext>
      </extLst>
    </bk>
    <bk>
      <extLst>
        <ext uri="{3e2802c4-a4d2-4d8b-9148-e3be6c30e623}">
          <xlrd:rvb i="203"/>
        </ext>
      </extLst>
    </bk>
    <bk>
      <extLst>
        <ext uri="{3e2802c4-a4d2-4d8b-9148-e3be6c30e623}">
          <xlrd:rvb i="204"/>
        </ext>
      </extLst>
    </bk>
    <bk>
      <extLst>
        <ext uri="{3e2802c4-a4d2-4d8b-9148-e3be6c30e623}">
          <xlrd:rvb i="205"/>
        </ext>
      </extLst>
    </bk>
    <bk>
      <extLst>
        <ext uri="{3e2802c4-a4d2-4d8b-9148-e3be6c30e623}">
          <xlrd:rvb i="206"/>
        </ext>
      </extLst>
    </bk>
    <bk>
      <extLst>
        <ext uri="{3e2802c4-a4d2-4d8b-9148-e3be6c30e623}">
          <xlrd:rvb i="207"/>
        </ext>
      </extLst>
    </bk>
    <bk>
      <extLst>
        <ext uri="{3e2802c4-a4d2-4d8b-9148-e3be6c30e623}">
          <xlrd:rvb i="208"/>
        </ext>
      </extLst>
    </bk>
    <bk>
      <extLst>
        <ext uri="{3e2802c4-a4d2-4d8b-9148-e3be6c30e623}">
          <xlrd:rvb i="209"/>
        </ext>
      </extLst>
    </bk>
    <bk>
      <extLst>
        <ext uri="{3e2802c4-a4d2-4d8b-9148-e3be6c30e623}">
          <xlrd:rvb i="210"/>
        </ext>
      </extLst>
    </bk>
    <bk>
      <extLst>
        <ext uri="{3e2802c4-a4d2-4d8b-9148-e3be6c30e623}">
          <xlrd:rvb i="211"/>
        </ext>
      </extLst>
    </bk>
    <bk>
      <extLst>
        <ext uri="{3e2802c4-a4d2-4d8b-9148-e3be6c30e623}">
          <xlrd:rvb i="212"/>
        </ext>
      </extLst>
    </bk>
    <bk>
      <extLst>
        <ext uri="{3e2802c4-a4d2-4d8b-9148-e3be6c30e623}">
          <xlrd:rvb i="213"/>
        </ext>
      </extLst>
    </bk>
    <bk>
      <extLst>
        <ext uri="{3e2802c4-a4d2-4d8b-9148-e3be6c30e623}">
          <xlrd:rvb i="214"/>
        </ext>
      </extLst>
    </bk>
    <bk>
      <extLst>
        <ext uri="{3e2802c4-a4d2-4d8b-9148-e3be6c30e623}">
          <xlrd:rvb i="215"/>
        </ext>
      </extLst>
    </bk>
    <bk>
      <extLst>
        <ext uri="{3e2802c4-a4d2-4d8b-9148-e3be6c30e623}">
          <xlrd:rvb i="216"/>
        </ext>
      </extLst>
    </bk>
    <bk>
      <extLst>
        <ext uri="{3e2802c4-a4d2-4d8b-9148-e3be6c30e623}">
          <xlrd:rvb i="217"/>
        </ext>
      </extLst>
    </bk>
    <bk>
      <extLst>
        <ext uri="{3e2802c4-a4d2-4d8b-9148-e3be6c30e623}">
          <xlrd:rvb i="218"/>
        </ext>
      </extLst>
    </bk>
    <bk>
      <extLst>
        <ext uri="{3e2802c4-a4d2-4d8b-9148-e3be6c30e623}">
          <xlrd:rvb i="219"/>
        </ext>
      </extLst>
    </bk>
    <bk>
      <extLst>
        <ext uri="{3e2802c4-a4d2-4d8b-9148-e3be6c30e623}">
          <xlrd:rvb i="220"/>
        </ext>
      </extLst>
    </bk>
    <bk>
      <extLst>
        <ext uri="{3e2802c4-a4d2-4d8b-9148-e3be6c30e623}">
          <xlrd:rvb i="221"/>
        </ext>
      </extLst>
    </bk>
    <bk>
      <extLst>
        <ext uri="{3e2802c4-a4d2-4d8b-9148-e3be6c30e623}">
          <xlrd:rvb i="222"/>
        </ext>
      </extLst>
    </bk>
    <bk>
      <extLst>
        <ext uri="{3e2802c4-a4d2-4d8b-9148-e3be6c30e623}">
          <xlrd:rvb i="223"/>
        </ext>
      </extLst>
    </bk>
    <bk>
      <extLst>
        <ext uri="{3e2802c4-a4d2-4d8b-9148-e3be6c30e623}">
          <xlrd:rvb i="224"/>
        </ext>
      </extLst>
    </bk>
    <bk>
      <extLst>
        <ext uri="{3e2802c4-a4d2-4d8b-9148-e3be6c30e623}">
          <xlrd:rvb i="225"/>
        </ext>
      </extLst>
    </bk>
    <bk>
      <extLst>
        <ext uri="{3e2802c4-a4d2-4d8b-9148-e3be6c30e623}">
          <xlrd:rvb i="226"/>
        </ext>
      </extLst>
    </bk>
    <bk>
      <extLst>
        <ext uri="{3e2802c4-a4d2-4d8b-9148-e3be6c30e623}">
          <xlrd:rvb i="227"/>
        </ext>
      </extLst>
    </bk>
    <bk>
      <extLst>
        <ext uri="{3e2802c4-a4d2-4d8b-9148-e3be6c30e623}">
          <xlrd:rvb i="228"/>
        </ext>
      </extLst>
    </bk>
    <bk>
      <extLst>
        <ext uri="{3e2802c4-a4d2-4d8b-9148-e3be6c30e623}">
          <xlrd:rvb i="229"/>
        </ext>
      </extLst>
    </bk>
    <bk>
      <extLst>
        <ext uri="{3e2802c4-a4d2-4d8b-9148-e3be6c30e623}">
          <xlrd:rvb i="230"/>
        </ext>
      </extLst>
    </bk>
    <bk>
      <extLst>
        <ext uri="{3e2802c4-a4d2-4d8b-9148-e3be6c30e623}">
          <xlrd:rvb i="231"/>
        </ext>
      </extLst>
    </bk>
    <bk>
      <extLst>
        <ext uri="{3e2802c4-a4d2-4d8b-9148-e3be6c30e623}">
          <xlrd:rvb i="232"/>
        </ext>
      </extLst>
    </bk>
    <bk>
      <extLst>
        <ext uri="{3e2802c4-a4d2-4d8b-9148-e3be6c30e623}">
          <xlrd:rvb i="233"/>
        </ext>
      </extLst>
    </bk>
    <bk>
      <extLst>
        <ext uri="{3e2802c4-a4d2-4d8b-9148-e3be6c30e623}">
          <xlrd:rvb i="234"/>
        </ext>
      </extLst>
    </bk>
    <bk>
      <extLst>
        <ext uri="{3e2802c4-a4d2-4d8b-9148-e3be6c30e623}">
          <xlrd:rvb i="235"/>
        </ext>
      </extLst>
    </bk>
    <bk>
      <extLst>
        <ext uri="{3e2802c4-a4d2-4d8b-9148-e3be6c30e623}">
          <xlrd:rvb i="236"/>
        </ext>
      </extLst>
    </bk>
    <bk>
      <extLst>
        <ext uri="{3e2802c4-a4d2-4d8b-9148-e3be6c30e623}">
          <xlrd:rvb i="237"/>
        </ext>
      </extLst>
    </bk>
    <bk>
      <extLst>
        <ext uri="{3e2802c4-a4d2-4d8b-9148-e3be6c30e623}">
          <xlrd:rvb i="238"/>
        </ext>
      </extLst>
    </bk>
    <bk>
      <extLst>
        <ext uri="{3e2802c4-a4d2-4d8b-9148-e3be6c30e623}">
          <xlrd:rvb i="239"/>
        </ext>
      </extLst>
    </bk>
    <bk>
      <extLst>
        <ext uri="{3e2802c4-a4d2-4d8b-9148-e3be6c30e623}">
          <xlrd:rvb i="240"/>
        </ext>
      </extLst>
    </bk>
    <bk>
      <extLst>
        <ext uri="{3e2802c4-a4d2-4d8b-9148-e3be6c30e623}">
          <xlrd:rvb i="241"/>
        </ext>
      </extLst>
    </bk>
    <bk>
      <extLst>
        <ext uri="{3e2802c4-a4d2-4d8b-9148-e3be6c30e623}">
          <xlrd:rvb i="242"/>
        </ext>
      </extLst>
    </bk>
    <bk>
      <extLst>
        <ext uri="{3e2802c4-a4d2-4d8b-9148-e3be6c30e623}">
          <xlrd:rvb i="243"/>
        </ext>
      </extLst>
    </bk>
    <bk>
      <extLst>
        <ext uri="{3e2802c4-a4d2-4d8b-9148-e3be6c30e623}">
          <xlrd:rvb i="244"/>
        </ext>
      </extLst>
    </bk>
    <bk>
      <extLst>
        <ext uri="{3e2802c4-a4d2-4d8b-9148-e3be6c30e623}">
          <xlrd:rvb i="245"/>
        </ext>
      </extLst>
    </bk>
    <bk>
      <extLst>
        <ext uri="{3e2802c4-a4d2-4d8b-9148-e3be6c30e623}">
          <xlrd:rvb i="246"/>
        </ext>
      </extLst>
    </bk>
    <bk>
      <extLst>
        <ext uri="{3e2802c4-a4d2-4d8b-9148-e3be6c30e623}">
          <xlrd:rvb i="247"/>
        </ext>
      </extLst>
    </bk>
    <bk>
      <extLst>
        <ext uri="{3e2802c4-a4d2-4d8b-9148-e3be6c30e623}">
          <xlrd:rvb i="248"/>
        </ext>
      </extLst>
    </bk>
    <bk>
      <extLst>
        <ext uri="{3e2802c4-a4d2-4d8b-9148-e3be6c30e623}">
          <xlrd:rvb i="249"/>
        </ext>
      </extLst>
    </bk>
    <bk>
      <extLst>
        <ext uri="{3e2802c4-a4d2-4d8b-9148-e3be6c30e623}">
          <xlrd:rvb i="250"/>
        </ext>
      </extLst>
    </bk>
    <bk>
      <extLst>
        <ext uri="{3e2802c4-a4d2-4d8b-9148-e3be6c30e623}">
          <xlrd:rvb i="251"/>
        </ext>
      </extLst>
    </bk>
    <bk>
      <extLst>
        <ext uri="{3e2802c4-a4d2-4d8b-9148-e3be6c30e623}">
          <xlrd:rvb i="252"/>
        </ext>
      </extLst>
    </bk>
    <bk>
      <extLst>
        <ext uri="{3e2802c4-a4d2-4d8b-9148-e3be6c30e623}">
          <xlrd:rvb i="253"/>
        </ext>
      </extLst>
    </bk>
    <bk>
      <extLst>
        <ext uri="{3e2802c4-a4d2-4d8b-9148-e3be6c30e623}">
          <xlrd:rvb i="254"/>
        </ext>
      </extLst>
    </bk>
    <bk>
      <extLst>
        <ext uri="{3e2802c4-a4d2-4d8b-9148-e3be6c30e623}">
          <xlrd:rvb i="255"/>
        </ext>
      </extLst>
    </bk>
    <bk>
      <extLst>
        <ext uri="{3e2802c4-a4d2-4d8b-9148-e3be6c30e623}">
          <xlrd:rvb i="256"/>
        </ext>
      </extLst>
    </bk>
    <bk>
      <extLst>
        <ext uri="{3e2802c4-a4d2-4d8b-9148-e3be6c30e623}">
          <xlrd:rvb i="257"/>
        </ext>
      </extLst>
    </bk>
    <bk>
      <extLst>
        <ext uri="{3e2802c4-a4d2-4d8b-9148-e3be6c30e623}">
          <xlrd:rvb i="258"/>
        </ext>
      </extLst>
    </bk>
    <bk>
      <extLst>
        <ext uri="{3e2802c4-a4d2-4d8b-9148-e3be6c30e623}">
          <xlrd:rvb i="259"/>
        </ext>
      </extLst>
    </bk>
    <bk>
      <extLst>
        <ext uri="{3e2802c4-a4d2-4d8b-9148-e3be6c30e623}">
          <xlrd:rvb i="260"/>
        </ext>
      </extLst>
    </bk>
    <bk>
      <extLst>
        <ext uri="{3e2802c4-a4d2-4d8b-9148-e3be6c30e623}">
          <xlrd:rvb i="261"/>
        </ext>
      </extLst>
    </bk>
    <bk>
      <extLst>
        <ext uri="{3e2802c4-a4d2-4d8b-9148-e3be6c30e623}">
          <xlrd:rvb i="262"/>
        </ext>
      </extLst>
    </bk>
    <bk>
      <extLst>
        <ext uri="{3e2802c4-a4d2-4d8b-9148-e3be6c30e623}">
          <xlrd:rvb i="263"/>
        </ext>
      </extLst>
    </bk>
    <bk>
      <extLst>
        <ext uri="{3e2802c4-a4d2-4d8b-9148-e3be6c30e623}">
          <xlrd:rvb i="264"/>
        </ext>
      </extLst>
    </bk>
    <bk>
      <extLst>
        <ext uri="{3e2802c4-a4d2-4d8b-9148-e3be6c30e623}">
          <xlrd:rvb i="265"/>
        </ext>
      </extLst>
    </bk>
    <bk>
      <extLst>
        <ext uri="{3e2802c4-a4d2-4d8b-9148-e3be6c30e623}">
          <xlrd:rvb i="266"/>
        </ext>
      </extLst>
    </bk>
    <bk>
      <extLst>
        <ext uri="{3e2802c4-a4d2-4d8b-9148-e3be6c30e623}">
          <xlrd:rvb i="267"/>
        </ext>
      </extLst>
    </bk>
    <bk>
      <extLst>
        <ext uri="{3e2802c4-a4d2-4d8b-9148-e3be6c30e623}">
          <xlrd:rvb i="268"/>
        </ext>
      </extLst>
    </bk>
    <bk>
      <extLst>
        <ext uri="{3e2802c4-a4d2-4d8b-9148-e3be6c30e623}">
          <xlrd:rvb i="269"/>
        </ext>
      </extLst>
    </bk>
  </futureMetadata>
  <valueMetadata count="27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  <bk>
      <rc t="1" v="77"/>
    </bk>
    <bk>
      <rc t="1" v="78"/>
    </bk>
    <bk>
      <rc t="1" v="79"/>
    </bk>
    <bk>
      <rc t="1" v="80"/>
    </bk>
    <bk>
      <rc t="1" v="81"/>
    </bk>
    <bk>
      <rc t="1" v="82"/>
    </bk>
    <bk>
      <rc t="1" v="83"/>
    </bk>
    <bk>
      <rc t="1" v="84"/>
    </bk>
    <bk>
      <rc t="1" v="85"/>
    </bk>
    <bk>
      <rc t="1" v="86"/>
    </bk>
    <bk>
      <rc t="1" v="87"/>
    </bk>
    <bk>
      <rc t="1" v="88"/>
    </bk>
    <bk>
      <rc t="1" v="89"/>
    </bk>
    <bk>
      <rc t="1" v="90"/>
    </bk>
    <bk>
      <rc t="1" v="91"/>
    </bk>
    <bk>
      <rc t="1" v="92"/>
    </bk>
    <bk>
      <rc t="1" v="93"/>
    </bk>
    <bk>
      <rc t="1" v="94"/>
    </bk>
    <bk>
      <rc t="1" v="95"/>
    </bk>
    <bk>
      <rc t="1" v="96"/>
    </bk>
    <bk>
      <rc t="1" v="97"/>
    </bk>
    <bk>
      <rc t="1" v="98"/>
    </bk>
    <bk>
      <rc t="1" v="99"/>
    </bk>
    <bk>
      <rc t="1" v="100"/>
    </bk>
    <bk>
      <rc t="1" v="101"/>
    </bk>
    <bk>
      <rc t="1" v="102"/>
    </bk>
    <bk>
      <rc t="1" v="103"/>
    </bk>
    <bk>
      <rc t="1" v="104"/>
    </bk>
    <bk>
      <rc t="1" v="105"/>
    </bk>
    <bk>
      <rc t="1" v="106"/>
    </bk>
    <bk>
      <rc t="1" v="107"/>
    </bk>
    <bk>
      <rc t="1" v="108"/>
    </bk>
    <bk>
      <rc t="1" v="109"/>
    </bk>
    <bk>
      <rc t="1" v="110"/>
    </bk>
    <bk>
      <rc t="1" v="111"/>
    </bk>
    <bk>
      <rc t="1" v="112"/>
    </bk>
    <bk>
      <rc t="1" v="113"/>
    </bk>
    <bk>
      <rc t="1" v="114"/>
    </bk>
    <bk>
      <rc t="1" v="115"/>
    </bk>
    <bk>
      <rc t="1" v="116"/>
    </bk>
    <bk>
      <rc t="1" v="117"/>
    </bk>
    <bk>
      <rc t="1" v="118"/>
    </bk>
    <bk>
      <rc t="1" v="119"/>
    </bk>
    <bk>
      <rc t="1" v="120"/>
    </bk>
    <bk>
      <rc t="1" v="121"/>
    </bk>
    <bk>
      <rc t="1" v="122"/>
    </bk>
    <bk>
      <rc t="1" v="123"/>
    </bk>
    <bk>
      <rc t="1" v="124"/>
    </bk>
    <bk>
      <rc t="1" v="125"/>
    </bk>
    <bk>
      <rc t="1" v="126"/>
    </bk>
    <bk>
      <rc t="1" v="127"/>
    </bk>
    <bk>
      <rc t="1" v="128"/>
    </bk>
    <bk>
      <rc t="1" v="129"/>
    </bk>
    <bk>
      <rc t="1" v="130"/>
    </bk>
    <bk>
      <rc t="1" v="131"/>
    </bk>
    <bk>
      <rc t="1" v="132"/>
    </bk>
    <bk>
      <rc t="1" v="133"/>
    </bk>
    <bk>
      <rc t="1" v="134"/>
    </bk>
    <bk>
      <rc t="1" v="135"/>
    </bk>
    <bk>
      <rc t="1" v="136"/>
    </bk>
    <bk>
      <rc t="1" v="137"/>
    </bk>
    <bk>
      <rc t="1" v="138"/>
    </bk>
    <bk>
      <rc t="1" v="139"/>
    </bk>
    <bk>
      <rc t="1" v="140"/>
    </bk>
    <bk>
      <rc t="1" v="141"/>
    </bk>
    <bk>
      <rc t="1" v="142"/>
    </bk>
    <bk>
      <rc t="1" v="143"/>
    </bk>
    <bk>
      <rc t="1" v="144"/>
    </bk>
    <bk>
      <rc t="1" v="145"/>
    </bk>
    <bk>
      <rc t="1" v="146"/>
    </bk>
    <bk>
      <rc t="1" v="147"/>
    </bk>
    <bk>
      <rc t="1" v="148"/>
    </bk>
    <bk>
      <rc t="1" v="149"/>
    </bk>
    <bk>
      <rc t="1" v="150"/>
    </bk>
    <bk>
      <rc t="1" v="151"/>
    </bk>
    <bk>
      <rc t="1" v="152"/>
    </bk>
    <bk>
      <rc t="1" v="153"/>
    </bk>
    <bk>
      <rc t="1" v="154"/>
    </bk>
    <bk>
      <rc t="1" v="155"/>
    </bk>
    <bk>
      <rc t="1" v="156"/>
    </bk>
    <bk>
      <rc t="1" v="157"/>
    </bk>
    <bk>
      <rc t="1" v="158"/>
    </bk>
    <bk>
      <rc t="1" v="159"/>
    </bk>
    <bk>
      <rc t="1" v="160"/>
    </bk>
    <bk>
      <rc t="1" v="161"/>
    </bk>
    <bk>
      <rc t="1" v="162"/>
    </bk>
    <bk>
      <rc t="1" v="163"/>
    </bk>
    <bk>
      <rc t="1" v="164"/>
    </bk>
    <bk>
      <rc t="1" v="165"/>
    </bk>
    <bk>
      <rc t="1" v="166"/>
    </bk>
    <bk>
      <rc t="1" v="167"/>
    </bk>
    <bk>
      <rc t="1" v="168"/>
    </bk>
    <bk>
      <rc t="1" v="169"/>
    </bk>
    <bk>
      <rc t="1" v="170"/>
    </bk>
    <bk>
      <rc t="1" v="171"/>
    </bk>
    <bk>
      <rc t="1" v="172"/>
    </bk>
    <bk>
      <rc t="1" v="173"/>
    </bk>
    <bk>
      <rc t="1" v="174"/>
    </bk>
    <bk>
      <rc t="1" v="175"/>
    </bk>
    <bk>
      <rc t="1" v="176"/>
    </bk>
    <bk>
      <rc t="1" v="177"/>
    </bk>
    <bk>
      <rc t="1" v="178"/>
    </bk>
    <bk>
      <rc t="1" v="179"/>
    </bk>
    <bk>
      <rc t="1" v="180"/>
    </bk>
    <bk>
      <rc t="1" v="181"/>
    </bk>
    <bk>
      <rc t="1" v="182"/>
    </bk>
    <bk>
      <rc t="1" v="183"/>
    </bk>
    <bk>
      <rc t="1" v="184"/>
    </bk>
    <bk>
      <rc t="1" v="185"/>
    </bk>
    <bk>
      <rc t="1" v="186"/>
    </bk>
    <bk>
      <rc t="1" v="187"/>
    </bk>
    <bk>
      <rc t="1" v="188"/>
    </bk>
    <bk>
      <rc t="1" v="189"/>
    </bk>
    <bk>
      <rc t="1" v="190"/>
    </bk>
    <bk>
      <rc t="1" v="191"/>
    </bk>
    <bk>
      <rc t="1" v="192"/>
    </bk>
    <bk>
      <rc t="1" v="193"/>
    </bk>
    <bk>
      <rc t="1" v="194"/>
    </bk>
    <bk>
      <rc t="1" v="195"/>
    </bk>
    <bk>
      <rc t="1" v="196"/>
    </bk>
    <bk>
      <rc t="1" v="197"/>
    </bk>
    <bk>
      <rc t="1" v="198"/>
    </bk>
    <bk>
      <rc t="1" v="199"/>
    </bk>
    <bk>
      <rc t="1" v="200"/>
    </bk>
    <bk>
      <rc t="1" v="201"/>
    </bk>
    <bk>
      <rc t="1" v="202"/>
    </bk>
    <bk>
      <rc t="1" v="203"/>
    </bk>
    <bk>
      <rc t="1" v="204"/>
    </bk>
    <bk>
      <rc t="1" v="205"/>
    </bk>
    <bk>
      <rc t="1" v="206"/>
    </bk>
    <bk>
      <rc t="1" v="207"/>
    </bk>
    <bk>
      <rc t="1" v="208"/>
    </bk>
    <bk>
      <rc t="1" v="209"/>
    </bk>
    <bk>
      <rc t="1" v="210"/>
    </bk>
    <bk>
      <rc t="1" v="211"/>
    </bk>
    <bk>
      <rc t="1" v="212"/>
    </bk>
    <bk>
      <rc t="1" v="213"/>
    </bk>
    <bk>
      <rc t="1" v="214"/>
    </bk>
    <bk>
      <rc t="1" v="215"/>
    </bk>
    <bk>
      <rc t="1" v="216"/>
    </bk>
    <bk>
      <rc t="1" v="217"/>
    </bk>
    <bk>
      <rc t="1" v="218"/>
    </bk>
    <bk>
      <rc t="1" v="219"/>
    </bk>
    <bk>
      <rc t="1" v="220"/>
    </bk>
    <bk>
      <rc t="1" v="221"/>
    </bk>
    <bk>
      <rc t="1" v="222"/>
    </bk>
    <bk>
      <rc t="1" v="223"/>
    </bk>
    <bk>
      <rc t="1" v="224"/>
    </bk>
    <bk>
      <rc t="1" v="225"/>
    </bk>
    <bk>
      <rc t="1" v="226"/>
    </bk>
    <bk>
      <rc t="1" v="227"/>
    </bk>
    <bk>
      <rc t="1" v="228"/>
    </bk>
    <bk>
      <rc t="1" v="229"/>
    </bk>
    <bk>
      <rc t="1" v="230"/>
    </bk>
    <bk>
      <rc t="1" v="231"/>
    </bk>
    <bk>
      <rc t="1" v="232"/>
    </bk>
    <bk>
      <rc t="1" v="233"/>
    </bk>
    <bk>
      <rc t="1" v="234"/>
    </bk>
    <bk>
      <rc t="1" v="235"/>
    </bk>
    <bk>
      <rc t="1" v="236"/>
    </bk>
    <bk>
      <rc t="1" v="237"/>
    </bk>
    <bk>
      <rc t="1" v="238"/>
    </bk>
    <bk>
      <rc t="1" v="239"/>
    </bk>
    <bk>
      <rc t="1" v="240"/>
    </bk>
    <bk>
      <rc t="1" v="241"/>
    </bk>
    <bk>
      <rc t="1" v="242"/>
    </bk>
    <bk>
      <rc t="1" v="243"/>
    </bk>
    <bk>
      <rc t="1" v="244"/>
    </bk>
    <bk>
      <rc t="1" v="245"/>
    </bk>
    <bk>
      <rc t="1" v="246"/>
    </bk>
    <bk>
      <rc t="1" v="247"/>
    </bk>
    <bk>
      <rc t="1" v="248"/>
    </bk>
    <bk>
      <rc t="1" v="249"/>
    </bk>
    <bk>
      <rc t="1" v="250"/>
    </bk>
    <bk>
      <rc t="1" v="251"/>
    </bk>
    <bk>
      <rc t="1" v="252"/>
    </bk>
    <bk>
      <rc t="1" v="253"/>
    </bk>
    <bk>
      <rc t="1" v="254"/>
    </bk>
    <bk>
      <rc t="1" v="255"/>
    </bk>
    <bk>
      <rc t="1" v="256"/>
    </bk>
    <bk>
      <rc t="1" v="257"/>
    </bk>
    <bk>
      <rc t="1" v="258"/>
    </bk>
    <bk>
      <rc t="1" v="259"/>
    </bk>
    <bk>
      <rc t="1" v="260"/>
    </bk>
    <bk>
      <rc t="1" v="261"/>
    </bk>
    <bk>
      <rc t="1" v="262"/>
    </bk>
    <bk>
      <rc t="1" v="263"/>
    </bk>
    <bk>
      <rc t="1" v="264"/>
    </bk>
    <bk>
      <rc t="1" v="265"/>
    </bk>
    <bk>
      <rc t="1" v="266"/>
    </bk>
    <bk>
      <rc t="1" v="267"/>
    </bk>
    <bk>
      <rc t="1" v="268"/>
    </bk>
    <bk>
      <rc t="1" v="269"/>
    </bk>
  </valueMetadata>
</metadata>
</file>

<file path=xl/sharedStrings.xml><?xml version="1.0" encoding="utf-8"?>
<sst xmlns="http://schemas.openxmlformats.org/spreadsheetml/2006/main" count="16409" uniqueCount="1449">
  <si>
    <t>RESUMEN COTIZACIÓN — SISTEMAS HIDRÁULICOS</t>
  </si>
  <si>
    <t>Esta pestaña muestra automáticamente sólo los productos con CANTIDAD &gt; 0 que hayas indicado en cada pestaña de categoría.</t>
  </si>
  <si>
    <t>Total ítems distintos cotizados:</t>
  </si>
  <si>
    <t>Fecha:</t>
  </si>
  <si>
    <t>Total unidades cotizadas:</t>
  </si>
  <si>
    <t>Si no ves productos en la tabla, vuelve al "Menú por Categoría" y completa la columna CANTIDAD A COTIZAR en las pestañas que necesites.</t>
  </si>
  <si>
    <t>Pestaña</t>
  </si>
  <si>
    <t>Categoría Madre</t>
  </si>
  <si>
    <t>Categoría</t>
  </si>
  <si>
    <t>SKU</t>
  </si>
  <si>
    <t>Descripción</t>
  </si>
  <si>
    <t>Unidad Mín. Venta</t>
  </si>
  <si>
    <t>Formato</t>
  </si>
  <si>
    <t>Cantidad</t>
  </si>
  <si>
    <t>Roberto</t>
  </si>
  <si>
    <t>Russell</t>
  </si>
  <si>
    <t>➤ IR A RESUMEN COTIZACIÓN</t>
  </si>
  <si>
    <t>Conducción de fluidos</t>
  </si>
  <si>
    <t>PP-RCT</t>
  </si>
  <si>
    <t>Para acceder al detalle de productos por categoría favor hacer clic sobre el nombre de la categoría.</t>
  </si>
  <si>
    <t>PP-R</t>
  </si>
  <si>
    <t>Adhesivos, lubricantes y teflón</t>
  </si>
  <si>
    <t>PVC Sanitario Gris</t>
  </si>
  <si>
    <t>PVC Gris Oscuro No Certificado</t>
  </si>
  <si>
    <t>PVC Colector</t>
  </si>
  <si>
    <t>PVC Sanitario Blanco</t>
  </si>
  <si>
    <t>PVC Presión</t>
  </si>
  <si>
    <t>Instalación Baño y Cocina</t>
  </si>
  <si>
    <t>PVC Canaletas Techo</t>
  </si>
  <si>
    <t>Riego</t>
  </si>
  <si>
    <t>Mangueras</t>
  </si>
  <si>
    <t>Bombas</t>
  </si>
  <si>
    <t>Canalización Eléctrica</t>
  </si>
  <si>
    <t>PVC Conduit</t>
  </si>
  <si>
    <t>Conduit Libre de Halógeno</t>
  </si>
  <si>
    <t>Lista Completa (todas las categorías)</t>
  </si>
  <si>
    <t>Volver al menú principal</t>
  </si>
  <si>
    <t>SISTEMAS HIDRÁULICOS FEBRERO 2026 - LISTA PRECIOS COMPLETA</t>
  </si>
  <si>
    <t>Nuevo Grupo SAP</t>
  </si>
  <si>
    <t>FOTO</t>
  </si>
  <si>
    <t>SKU-SH</t>
  </si>
  <si>
    <t>Descripción SAP 01.26</t>
  </si>
  <si>
    <t>UNIDAD MÍNIMA DE VENTA (UNIDADES)</t>
  </si>
  <si>
    <t>UNIDAD MÍNIMA DE VENTA (FORMATO)</t>
  </si>
  <si>
    <t>Conducción Fluidos</t>
  </si>
  <si>
    <t>TUBO BETA</t>
  </si>
  <si>
    <t>TB</t>
  </si>
  <si>
    <t>PP-RCT TUBO 6M 20 PN16 N</t>
  </si>
  <si>
    <t>Bolsa</t>
  </si>
  <si>
    <t>PP-RCT TUBO 6M 25 PN16 N</t>
  </si>
  <si>
    <t>PP-RCT TUBO 6M 32 PN16 N</t>
  </si>
  <si>
    <t>PP-RCT TUBO 6M 40 PN16 N</t>
  </si>
  <si>
    <t>PP-RCT TUBO 6M 50 PN16 N</t>
  </si>
  <si>
    <t>PP-RCT TUBO 6M 63 PN16 N</t>
  </si>
  <si>
    <t>PP-RCT TUBO 6M 75 PN16 N</t>
  </si>
  <si>
    <t>PP-RCT TUBO 6M 90 PN16 N</t>
  </si>
  <si>
    <t>PP-RCT TUBO 6M 110 PN16 N</t>
  </si>
  <si>
    <t>TUBOS PPR DG</t>
  </si>
  <si>
    <t>PPR TUBO 6M 20 PN16 N</t>
  </si>
  <si>
    <t>PPR TUBO 6M 25 PN16 N</t>
  </si>
  <si>
    <t>PPR TUBO 6M 32 PN16 N</t>
  </si>
  <si>
    <t>PPR TUBO 6M 40 PN16 N</t>
  </si>
  <si>
    <t>PPR TUBO 6M 50 PN16 N</t>
  </si>
  <si>
    <t>PPR TUBO 6M 63 PN16 N</t>
  </si>
  <si>
    <t>PPR TUBO 6M 75 PN16 N</t>
  </si>
  <si>
    <t>PPR TUBO 6M 90 PN16 N</t>
  </si>
  <si>
    <t>PPR TUBO 6M 110 PN16 N</t>
  </si>
  <si>
    <t>PPR TUBO 6M 20 PN20 N</t>
  </si>
  <si>
    <t>PPR TUBO 6M 25 PN20 N</t>
  </si>
  <si>
    <t>PPR TUBO 6M 32 PN20 N</t>
  </si>
  <si>
    <t>PPR TUBO 6M 40 PN20 N</t>
  </si>
  <si>
    <t>PPR TUBO 6M 50 PN20 N</t>
  </si>
  <si>
    <t>PPR TUBO 6M 63 PN20 N</t>
  </si>
  <si>
    <t>PPR TUBO 6M 75 PN20 N</t>
  </si>
  <si>
    <t>PPR TUBO 6M 90 PN20 N</t>
  </si>
  <si>
    <t>PPR TUBO 6M 110 PN20 N</t>
  </si>
  <si>
    <t>FITTING PPR IMPORTAD</t>
  </si>
  <si>
    <t>FT</t>
  </si>
  <si>
    <t>PPR FT CODO 45° 20 I</t>
  </si>
  <si>
    <t>PPR FT CODO 45° 25 I</t>
  </si>
  <si>
    <t>PPR FT CODO 45° 32 I</t>
  </si>
  <si>
    <t>PPR FT CODO 45° 40 I</t>
  </si>
  <si>
    <t>PPR FT CODO 45° 50 I</t>
  </si>
  <si>
    <t>PPR FT CODO 45° 63 I</t>
  </si>
  <si>
    <t>PPR FT CODO 45° 75 I</t>
  </si>
  <si>
    <t>PPR FT CODO 45° 90 I</t>
  </si>
  <si>
    <t>PPR FT CODO 45° 110 I</t>
  </si>
  <si>
    <t>PPR FT CODO 90° 20 I</t>
  </si>
  <si>
    <t>PPR FT CODO 90° 25 I</t>
  </si>
  <si>
    <t>PPR FT CODO 90° 32 I</t>
  </si>
  <si>
    <t>PPR FT CODO 90° 40 I</t>
  </si>
  <si>
    <t>PPR FT CODO 90° 50 I</t>
  </si>
  <si>
    <t>PPR FT CODO 90° 63 I</t>
  </si>
  <si>
    <t>PPR FT CODO 90° 75 I</t>
  </si>
  <si>
    <t>PPR FT CODO 90° 90 I</t>
  </si>
  <si>
    <t>PPR FT CODO 90° 110 I</t>
  </si>
  <si>
    <t>PPR FT CODO 90° HE MET 20 1/2' I</t>
  </si>
  <si>
    <t>PPR FT CODO 90° HE MET 20 3/4' I</t>
  </si>
  <si>
    <t>PPR FT CODO 90° HE MET 25 1/2' I</t>
  </si>
  <si>
    <t>PPR FT CODO 90° HE MET 25 3/4' I</t>
  </si>
  <si>
    <t>PPR FT CODO 90° HE MET 32 1/2' I</t>
  </si>
  <si>
    <t>PPR FT CODO 90° HE MET 32 3/4' I</t>
  </si>
  <si>
    <t>PPR FT CODO 90° HE MET 32 1' I</t>
  </si>
  <si>
    <t>PPR FT CODO 90° HI MET 20 1/2' I</t>
  </si>
  <si>
    <t>PPR FT CODO 90° HI MET 20 3/4' I</t>
  </si>
  <si>
    <t>PPR FT CODO 90° HI MET 25 1/2' I</t>
  </si>
  <si>
    <t>PPR FT CODO 90° HI MET 25 3/4' I</t>
  </si>
  <si>
    <t>PPR FT CODO 90° HI MET 32 1/2' I</t>
  </si>
  <si>
    <t>PPR FT CODO 90° HI MET 32 3/4' I</t>
  </si>
  <si>
    <t>PPR FT CODO 90° HI MET 32 1' I</t>
  </si>
  <si>
    <t>PPR FT CODO RED 25 20 I</t>
  </si>
  <si>
    <t>PPR FT CODO RED 32 20 I</t>
  </si>
  <si>
    <t>PPR FT CODO RED 32 25 I</t>
  </si>
  <si>
    <t>PPR FT CODO 90° HE MET C/SOP 20 1/2' I</t>
  </si>
  <si>
    <t>PPR FT CODO 90° HE MET C/SOP 25 1/2' I</t>
  </si>
  <si>
    <t>PPR FT CODO 90° HE MET C/SOP 25 3/4' I</t>
  </si>
  <si>
    <t>PPR FT CODO 90° HI MET C/SOP 20 1/2' I</t>
  </si>
  <si>
    <t>PPR FT CODO 90° HI MET C/SOP 25 1/2' I</t>
  </si>
  <si>
    <t>PPR FT CODO 90° HI MET C/SOP 25 3/4' I</t>
  </si>
  <si>
    <t>PPR FT CODO 90 HI MET S/DOB 20 1/2' I</t>
  </si>
  <si>
    <t>PPR FT CODO 90 HI MET S/DOB 25 1/2' I</t>
  </si>
  <si>
    <t>PPR FT COPLA 20 I</t>
  </si>
  <si>
    <t>PPR FT COPLA 25 I</t>
  </si>
  <si>
    <t>PPR FT COPLA 32 I</t>
  </si>
  <si>
    <t>PPR FT COPLA 40 I</t>
  </si>
  <si>
    <t>PPR FT COPLA 50 I</t>
  </si>
  <si>
    <t>PPR FT COPLA 63 I</t>
  </si>
  <si>
    <t>PPR FT COPLA 75 I</t>
  </si>
  <si>
    <t>PPR FT COPLA 90 I</t>
  </si>
  <si>
    <t>PPR FT COPLA 110 I</t>
  </si>
  <si>
    <t>PPR FT COPLA RED 25 x 20 I</t>
  </si>
  <si>
    <t>PPR FT COPLA RED 32 x 20 I</t>
  </si>
  <si>
    <t>PPR FT COPLA RED 32 x 25 I</t>
  </si>
  <si>
    <t>PPR FT COPLA RED 40 x 20 I</t>
  </si>
  <si>
    <t>PPR FT COPLA RED 40 x 25 I</t>
  </si>
  <si>
    <t>PPR FT COPLA RED 40 x 32 I</t>
  </si>
  <si>
    <t>PPR FT COPLA RED 50 x 20 I</t>
  </si>
  <si>
    <t>PPR FT COPLA RED 50 x 25 I</t>
  </si>
  <si>
    <t>PPR FT COPLA RED 50 x 32 I</t>
  </si>
  <si>
    <t>PPR FT COPLA RED 50 x 40 I</t>
  </si>
  <si>
    <t>PPR FT COPLA RED 63 x 20 I</t>
  </si>
  <si>
    <t>PPR FT COPLA RED 63 x 25 I</t>
  </si>
  <si>
    <t>PPR FT COPLA RED 63 x 32 I</t>
  </si>
  <si>
    <t>PPR FT COPLA RED 63 x 40 I</t>
  </si>
  <si>
    <t>PPR FT COPLA RED 63 x 50 I</t>
  </si>
  <si>
    <t>PPR FT COPLA RED 75 x 32 I</t>
  </si>
  <si>
    <t>Unitario</t>
  </si>
  <si>
    <t>PPR FT COPLA RED 75 x 40 I</t>
  </si>
  <si>
    <t>PPR FT COPLA RED 75 x 50 I</t>
  </si>
  <si>
    <t>PPR FT COPLA RED 75 x 63 I</t>
  </si>
  <si>
    <t>PPR FT COPLA RED 90 x 40 I</t>
  </si>
  <si>
    <t>PPR FT COPLA RED 90 x 50 I</t>
  </si>
  <si>
    <t>PPR FT COPLA RED 90 x 63 I</t>
  </si>
  <si>
    <t>PPR FT COPLA RED 90 x 75 I</t>
  </si>
  <si>
    <t>PPR FT COPLA RED 110 x 40 I</t>
  </si>
  <si>
    <t>PPR FT COPLA RED 110 x 50 I</t>
  </si>
  <si>
    <t>PPR FT COPLA RED 110 x 63 I</t>
  </si>
  <si>
    <t>PPR FT COPLA RED 110 x 75 I</t>
  </si>
  <si>
    <t>PPR FT COPLA RED 110 x 90 I</t>
  </si>
  <si>
    <t>PPR FT TEE 20 x 20 I</t>
  </si>
  <si>
    <t>PPR FT TEE 25 x 25 I</t>
  </si>
  <si>
    <t>PPR FT TEE 32 x 32 I</t>
  </si>
  <si>
    <t>PPR FT TEE 40 x 40 I</t>
  </si>
  <si>
    <t>PPR FT TEE 50 x 50 I</t>
  </si>
  <si>
    <t>PPR FT TEE 63 x 63 I</t>
  </si>
  <si>
    <t>PPR FT TEE 75 x 75 I</t>
  </si>
  <si>
    <t>PPR FT TEE 90 x 90 I</t>
  </si>
  <si>
    <t>PPR FT TEE 110 x 110 I</t>
  </si>
  <si>
    <t>unitario</t>
  </si>
  <si>
    <t>PPR FT TEE RED 25 x 20 x 25 I</t>
  </si>
  <si>
    <t>FITTING PPR</t>
  </si>
  <si>
    <t>PPR FT TEE RED 32 x 20 x 32 N</t>
  </si>
  <si>
    <t>PPR FT TEE RED 32 x 25 x 32 I</t>
  </si>
  <si>
    <t>PPR FT TEE RED 40 x 20 x 40 I</t>
  </si>
  <si>
    <t>PPR FT TEE RED 40 x 25 x 40 I</t>
  </si>
  <si>
    <t>PPR FT TEE RED 40 x 32 x 40 I</t>
  </si>
  <si>
    <t>PPR FT TEE RED 50 x 20 x 50 I</t>
  </si>
  <si>
    <t>PPR FT TEE RED 50 x 25 x 50 I</t>
  </si>
  <si>
    <t>PPR FT TEE RED 50 x 32 x 50 I</t>
  </si>
  <si>
    <t>PPR FT TEE RED 50 x 40 x 50 I</t>
  </si>
  <si>
    <t>PPR FT TEE RED 63 x 20 x 63 I</t>
  </si>
  <si>
    <t>PPR FT TEE RED 63 x 25 x 63 I</t>
  </si>
  <si>
    <t>PPR FT TEE RED 63 x 32 x 63 I</t>
  </si>
  <si>
    <t>PPR FT TEE RED 63 x 40 x 63 I</t>
  </si>
  <si>
    <t>PPR FT TEE RED 63 x 50 x 63 I</t>
  </si>
  <si>
    <t>PPR FT TEE RED 75 x 32 x 75 I</t>
  </si>
  <si>
    <t>PPR FT TEE RED 75 x 40 x 75 I</t>
  </si>
  <si>
    <t>PPR FT TEE RED 75 x 50 x 75 I</t>
  </si>
  <si>
    <t>PPR FT TEE RED 75 x 63 x 75 I</t>
  </si>
  <si>
    <t>PPR FT TEE RED 90 X 40 X 90 I</t>
  </si>
  <si>
    <t>PPR FT TEE RED 90 X 50 X 90 I</t>
  </si>
  <si>
    <t>PPR FT TEE RED 90 x 63 x 90 I</t>
  </si>
  <si>
    <t>PPR FT TEE RED 90 x 75 x 90 I</t>
  </si>
  <si>
    <t>PPR FT TEE RED 110 x 50 x 110 I</t>
  </si>
  <si>
    <t>PPR FT TEE RED 110 x 63 x 110 I</t>
  </si>
  <si>
    <t>PPR FT TEE RED 110 x 75 x 110 I</t>
  </si>
  <si>
    <t>PPR FT TEE RED 110 x 90 x 110 I</t>
  </si>
  <si>
    <t>PPR FT TEE RED 20 x 25 x 20 N</t>
  </si>
  <si>
    <t>PPR FT TEE RED 25 x 25 x 20 N</t>
  </si>
  <si>
    <t>PPR FT TEE RED 32 x 20 x 20 N</t>
  </si>
  <si>
    <t>PPR FT TEE RED 32 x 20 x 25 N</t>
  </si>
  <si>
    <t>PPR FT TEE RED 32 x 25 x 20 N</t>
  </si>
  <si>
    <t>PPR FT TEE RED 32 x 25 x 25 N</t>
  </si>
  <si>
    <t>PPR FT TEE RED 40 x 25 x 32 N</t>
  </si>
  <si>
    <t>PPR FT TEE RED 40 x 32 x 25 N</t>
  </si>
  <si>
    <t>PPR FT TEE RED 75 x 20 x 75 N</t>
  </si>
  <si>
    <t>PPR FT TEE RED 75 x 25 x 75 N</t>
  </si>
  <si>
    <t>PPR FT TEE HE R.MET 20 1/2' I</t>
  </si>
  <si>
    <t>PPR FT TEE HE R.MET 20 3/4' I</t>
  </si>
  <si>
    <t>PPR FT TEE HE R.MET 25 1/2' I</t>
  </si>
  <si>
    <t>PPR FT TEE HE R.MET 25 3/4' I</t>
  </si>
  <si>
    <t>PPR FT TEE HE R.MET 32 1/2' I</t>
  </si>
  <si>
    <t>PPR FT TEE HE R.MET 32 3/4' I</t>
  </si>
  <si>
    <t>PPR FT TEE HE R.MET 32 1' I</t>
  </si>
  <si>
    <t>PPR FT TEE HI R.MET 20 1/2' I</t>
  </si>
  <si>
    <t>PPR FT TEE HI R.MET 20 3/4' I</t>
  </si>
  <si>
    <t>PPR FT TEE HI R.MET 25 1/2' I</t>
  </si>
  <si>
    <t>PPR FT TEE HI R.MET 25 3/4' I</t>
  </si>
  <si>
    <t>PPR FT TEE HI R.MET 32 1/2' I</t>
  </si>
  <si>
    <t>PPR FT TEE HI R.MET 32 3/4' I</t>
  </si>
  <si>
    <t>PPR FT TEE HI R.MET 32 1' I</t>
  </si>
  <si>
    <t>PPR FT BUJE RED 25 x 20 N</t>
  </si>
  <si>
    <t>PPR FT BUJE RED 32 x 20 N</t>
  </si>
  <si>
    <t>PPR FT BUJE RED 32 x 25 N</t>
  </si>
  <si>
    <t>PPR FT BUJE RED 40 x 20 N</t>
  </si>
  <si>
    <t>PPR FT BUJE RED 40 x 25 N</t>
  </si>
  <si>
    <t>PPR FT BUJE RED 40 x 32 N</t>
  </si>
  <si>
    <t>PPR FT BUJE RED 50 x 20 N</t>
  </si>
  <si>
    <t>PPR FT BUJE RED 50 x 25 N</t>
  </si>
  <si>
    <t>PPR FT BUJE RED 50 x 32 N</t>
  </si>
  <si>
    <t>PPR FT BUJE RED 50 x 40 N</t>
  </si>
  <si>
    <t>PPR FT BUJE RED 63 x 20 N</t>
  </si>
  <si>
    <t>PPR FT BUJE RED 63 x 25 N</t>
  </si>
  <si>
    <t>PPR FT BUJE RED 63 x 32 N</t>
  </si>
  <si>
    <t>PPR FT BUJE RED 63 x 40 N</t>
  </si>
  <si>
    <t>PPR FT BUJE RED 63 x 50 N</t>
  </si>
  <si>
    <t>PPR FT BUJE RED 75 x 32 N</t>
  </si>
  <si>
    <t>PPR FT BUJE RED 75 x 40 N</t>
  </si>
  <si>
    <t>PPR FT BUJE RED 75 x 50 N</t>
  </si>
  <si>
    <t>PPR FT BUJE RED 75 x 63 N</t>
  </si>
  <si>
    <t>PPR FT BUJE RED 90 x 40 N</t>
  </si>
  <si>
    <t>PPR FT BUJE RED 90 x 50 N</t>
  </si>
  <si>
    <t>PPR FT BUJE RED 90 x 63 N</t>
  </si>
  <si>
    <t>PPR FT BUJE RED 90 x 75 N</t>
  </si>
  <si>
    <t>PPR FT BUJE RED 110 x 40 N</t>
  </si>
  <si>
    <t>PPR FT BUJE RED 110 x 50 N</t>
  </si>
  <si>
    <t>PPR FT BUJE RED 110 x 63 N</t>
  </si>
  <si>
    <t>PPR FT BUJE RED 110 x 75 N</t>
  </si>
  <si>
    <t>PPR FT BUJE RED 110 x 90 N</t>
  </si>
  <si>
    <t>PPR FT UNION AMERICANA FUS.MET 20 I</t>
  </si>
  <si>
    <t>PPR FT UNION AMERICANA FUS.MET 25 I</t>
  </si>
  <si>
    <t>PPR FT UNION AMERICANA FUS.MET 32 I</t>
  </si>
  <si>
    <t>PPR FT U AME.FUS MET 40 I</t>
  </si>
  <si>
    <t>PPR FT U AME.FUS MET 50 I</t>
  </si>
  <si>
    <t>PPR FT U AME.FUS MET 63 I</t>
  </si>
  <si>
    <t>PPR FT UNION AMERICANA HE.MET 20 x 1/2'</t>
  </si>
  <si>
    <t>PPR FT UNION AMERICANA HE.MET 25 x 3/4'</t>
  </si>
  <si>
    <t>PPR FT UNION AMERICANA HE.MET 32 x 1'</t>
  </si>
  <si>
    <t>PPR FT UNION AMERICANA HE.MET 40x 1 1/4'</t>
  </si>
  <si>
    <t>PPR FT UNION AMERICANA HE.MET 50x 1 1/2'</t>
  </si>
  <si>
    <t>PPR FT UNION AMERICANA HE.MET 63 x 2</t>
  </si>
  <si>
    <t>PPR FT UNION AMERICANA HI.MET 20 x 1/2'</t>
  </si>
  <si>
    <t>PPR FT UNION AMERICANA HI.MET 25 x 3/4'</t>
  </si>
  <si>
    <t>PPR FT UNION AMERICANA HI.MET 32 x 1'</t>
  </si>
  <si>
    <t>PPR FT UNION AMERICANA HI.MET 40x 1 1/4'</t>
  </si>
  <si>
    <t>PPR UNION AMERICANA HI.MET 50 x 1 1/2'</t>
  </si>
  <si>
    <t>PPR FT UNION AMERICANA HI.MET 63 x 2'</t>
  </si>
  <si>
    <t>PPR FT TERMINAL HE MET 20 1/2' I</t>
  </si>
  <si>
    <t>PPR FT TERMINAL HE MET 20 3/4' I</t>
  </si>
  <si>
    <t>PPR FT TERMINAL HE MET 25 1/2' I</t>
  </si>
  <si>
    <t>PPR FT TERMINAL HE MET 25 3/4' I</t>
  </si>
  <si>
    <t>PPR FT TERMINAL HE MET 32 1/2' I</t>
  </si>
  <si>
    <t>PPR FT TERMINAL HE MET 32 3/4' I</t>
  </si>
  <si>
    <t>PPR FT TERMINAL HE MET 32 1' I</t>
  </si>
  <si>
    <t>PPR FT TERMINAL HE MET 40 1' I</t>
  </si>
  <si>
    <t>PPR FT TERMINAL HE MET 40 1 1/4' I</t>
  </si>
  <si>
    <t>PPR FT TERMINAL HE MET 50 1 1/2' I</t>
  </si>
  <si>
    <t>PPR FT TERMINAL HE MET 63 2' I</t>
  </si>
  <si>
    <t>PPR FT TERMINAL HE MET 75 2 1/2' I</t>
  </si>
  <si>
    <t>PPR FT TERMINAL HE MET 90 3' I</t>
  </si>
  <si>
    <t>PPR FT TERMINAL HE MET 110 4' N</t>
  </si>
  <si>
    <t>PPR FT TERMINAL HI MET 20 1/2' I</t>
  </si>
  <si>
    <t>PPR FT TERMINAL HI MET 20 3/4' I</t>
  </si>
  <si>
    <t>PPR FT TERMINAL HI MET 25 1/2' I</t>
  </si>
  <si>
    <t>PPR FT TERMINAL HI MET 25 3/4' I</t>
  </si>
  <si>
    <t>PPR FT TERMINAL HI MET 32 1/2' I</t>
  </si>
  <si>
    <t>PPR FT TERMINAL HI MET 32 3/4' I</t>
  </si>
  <si>
    <t>PPR FT TERMINAL HI MET 32 1' I</t>
  </si>
  <si>
    <t>PPR FT TERMINAL HI MET 40 3/4' N</t>
  </si>
  <si>
    <t>PPR FT TERMINAL HI MET 40 1' N</t>
  </si>
  <si>
    <t>PPR FT TERMINAL HI MET 40 1 1/4' I</t>
  </si>
  <si>
    <t>PPR FT TERMINAL HI MET 50 1 1/2' I</t>
  </si>
  <si>
    <t>PPR FT TERMINAL HI MET 63 2' I</t>
  </si>
  <si>
    <t>PPR FT TERMINAL HI MET 75 2 1/2' I</t>
  </si>
  <si>
    <t>PPR FT TERMINAL HI MET 90 3' I</t>
  </si>
  <si>
    <t>PPR FT TERMINAL HI MET 110 4' N</t>
  </si>
  <si>
    <t>PPR FT TAPA 20 I</t>
  </si>
  <si>
    <t>PPR FT TAPA 25 I</t>
  </si>
  <si>
    <t>PPR FT TAPA 32 I</t>
  </si>
  <si>
    <t>PPR FT TAPA 40 I</t>
  </si>
  <si>
    <t>PPR FT TAPA 50 I</t>
  </si>
  <si>
    <t>PPR FT TAPA 63 I</t>
  </si>
  <si>
    <t>PPR FT TAPA 75 I</t>
  </si>
  <si>
    <t>PPR FT TAPA 90 I</t>
  </si>
  <si>
    <t>PPR FT TAPA 110 I</t>
  </si>
  <si>
    <t>PPR FT TAPA HE 1/2' N</t>
  </si>
  <si>
    <t>PPR FT TAPA HE 3/4' N</t>
  </si>
  <si>
    <t>PPR FT TAPA HE 1/2' I</t>
  </si>
  <si>
    <t>PPR FT TAPA HE 3/4' I</t>
  </si>
  <si>
    <t>PPR FT ABRAZADERA EMPALM 16-20 I</t>
  </si>
  <si>
    <t>PPR FT ABRAZADERA EMPALM 25 I</t>
  </si>
  <si>
    <t>PPR FT ABRAZADERA EMPALM 32 I</t>
  </si>
  <si>
    <t>PPR FT ABRAZADERA EMPALM 40 I</t>
  </si>
  <si>
    <t>PPR FT ABRAZADERA EMPALM 50 I</t>
  </si>
  <si>
    <t>PPR FT ABRAZADERA EMPALM 63 I</t>
  </si>
  <si>
    <t>PPR FT PASATUBO 20 I</t>
  </si>
  <si>
    <t>PPR FT PASATUBO 25 I</t>
  </si>
  <si>
    <t>PPR FT PASATUBO 32 I</t>
  </si>
  <si>
    <t>LLAVES Y VÁLVULAS PPR</t>
  </si>
  <si>
    <t>LL-VAL</t>
  </si>
  <si>
    <t>PPR LL/V LLAVE PASO CROM VAST CORTO 20 I</t>
  </si>
  <si>
    <t>PPR LL/V LLAVE PASO CROM VAST CORTO 25 I</t>
  </si>
  <si>
    <t>PPR LL/V LLAVE PASO CROM VAST CORTO 32 I</t>
  </si>
  <si>
    <t>PPR LL/V LLAVE PASO CROM VAST LARGO 20 I</t>
  </si>
  <si>
    <t>PPR LL/V LLAVE PASO CROM VAST LARGO 25 I</t>
  </si>
  <si>
    <t>PPR LL/V LLAVE PASO MET.AZUL 25 I</t>
  </si>
  <si>
    <t>PPR LL/V LLAVE PASO MET.AZUL 32 I</t>
  </si>
  <si>
    <t>PPR LL/V LLAVE PASO MET.ROJO 25 I</t>
  </si>
  <si>
    <t>PPR LL/V LLAVE PASO MET.ROJO 32 I</t>
  </si>
  <si>
    <t>PPR LLAVE PASO CROMADA VAST CORT 20 CERT</t>
  </si>
  <si>
    <t>PPR LLAVE PASO CROMADA VAST CORT 25 CERT</t>
  </si>
  <si>
    <t>PPR LLAVE PASO CROMADA VAST CORT 32 CERT</t>
  </si>
  <si>
    <t>PPR LLAVE PASO MAN.MET AZUL CORT 20 CERT</t>
  </si>
  <si>
    <t>PPR LLAVE PASO MAN.MET AZUL CORT 25 CERT</t>
  </si>
  <si>
    <t>PPR LLAVE PASO MAN.MET AZUL CORT 32 CERT</t>
  </si>
  <si>
    <t>PPR LLAVE PASO MAN.MET ROJO CORT 20 CERT</t>
  </si>
  <si>
    <t>PPR LLAVE PASO MAN.MET ROJO CORT 25 CERT</t>
  </si>
  <si>
    <t>PPR LLAVE PASO MAN.MET ROJO CORT 32 CERT</t>
  </si>
  <si>
    <t>PPR LLAVE PASO MAND. PLASTICA 20 CERT FE</t>
  </si>
  <si>
    <t>PPR LLAVE PASO MAND. PLASTICA 25 CERT FE</t>
  </si>
  <si>
    <t>PPR LLAVE PASO MAND. PLASTICA 32 CERT FE</t>
  </si>
  <si>
    <t>PPR LLAVE PASO PLASTICA VAST PLAST 20 N</t>
  </si>
  <si>
    <t>PPR LLAVE PASO PLASTICA VAST PLAST 25 N</t>
  </si>
  <si>
    <t>PPR LLAVE PASO PLASTICA VAST PLAST 32 N</t>
  </si>
  <si>
    <t>PPR LL/V LLAVE BOLA PLAST 20 I</t>
  </si>
  <si>
    <t>PPR LL/V LLAVE BOLA PLAST 25 I</t>
  </si>
  <si>
    <t>PPR LL/V LLAVE BOLA PLAST 32 I</t>
  </si>
  <si>
    <t>PPR LL/V VÁLVULA BOLA C. METALICO FUS 20</t>
  </si>
  <si>
    <t>PPR LL/V VÁLVULA BOLA C. METALICO FUS 25</t>
  </si>
  <si>
    <t>PPR LL/V VÁLVULA BOLA C. METALICO FUS 32</t>
  </si>
  <si>
    <t>PPR LL/V VÁLVULA BOLA C. METALICO FUS 40</t>
  </si>
  <si>
    <t>PPR LL/V VÁLVULA BOLA C. METALICO FUS 50</t>
  </si>
  <si>
    <t>PPR LL/V VÁLVULA BOLA C. METALICO FUS 63</t>
  </si>
  <si>
    <t>PPR LLAVE PASO MEZC CROM. DOBL 20 N</t>
  </si>
  <si>
    <t>PPR LLAVE PASO MEZC MET. DOBL 20 N</t>
  </si>
  <si>
    <t>PPR LLAVE PASO MEZC OCTOGONAL DOB 20 N</t>
  </si>
  <si>
    <t>PPR LLAVE PASO MEZC PLASTICA DOB 20 N</t>
  </si>
  <si>
    <t>ACCES/MAQUI/TIJERAS</t>
  </si>
  <si>
    <t>HERR-ACC</t>
  </si>
  <si>
    <t>PPR HERR TIJERAS 16 A 40 I</t>
  </si>
  <si>
    <t>PPR HERR TIJERAS 16 A 63 I</t>
  </si>
  <si>
    <t>PPR HERR MAQUINA FUSION 16 A 63 N</t>
  </si>
  <si>
    <t>PPR HERR DADOS 20 FUSION I</t>
  </si>
  <si>
    <t>Caja</t>
  </si>
  <si>
    <t>PPR HERR DADOS 25 FUSION I</t>
  </si>
  <si>
    <t>PPR HERR DADOS 32 FUSION I</t>
  </si>
  <si>
    <t>PPR HERR DADOS 40 FUSION I</t>
  </si>
  <si>
    <t>PPR HERR DADOS 50 FUSION I</t>
  </si>
  <si>
    <t>PPR HERR DADOS 63 FUSION I</t>
  </si>
  <si>
    <t>PPR HERR DADOS 75 FUSION I</t>
  </si>
  <si>
    <t>PPR HERR DADOS 90 FUSION I</t>
  </si>
  <si>
    <t>PPR HERR DADOS 110 FUSION I</t>
  </si>
  <si>
    <t>ADH. LUB. PVC Y TEFLÓN</t>
  </si>
  <si>
    <t>ADHESIVOS Y LUBRICANTE PVC, TEFLÓN</t>
  </si>
  <si>
    <t>POMO 20 CC</t>
  </si>
  <si>
    <t>ADHESIVO PVC TRANSP POMO 20CC S.H</t>
  </si>
  <si>
    <t>POMO 60 CC</t>
  </si>
  <si>
    <t>ADHESIVO PVC TRANSP POMO 60CC S.H.</t>
  </si>
  <si>
    <t>TARRO 118 CC</t>
  </si>
  <si>
    <t>ADHESIVO PVC TRANSP LATA 118ML S.H.</t>
  </si>
  <si>
    <t>TARRO 237 CC</t>
  </si>
  <si>
    <t>ADHESIVO PVC TRANSP LATA 237ML S.H.</t>
  </si>
  <si>
    <t>ADHESIVO PVC HUMED LATA 118ML S.H.</t>
  </si>
  <si>
    <t>ADHESIVO PVC HUMED LATA 237ML S.H.</t>
  </si>
  <si>
    <t>LUBRICANTE</t>
  </si>
  <si>
    <t>LUBRICANTE PVC 1/2 LT</t>
  </si>
  <si>
    <t>CIRC. DISPENSADOR</t>
  </si>
  <si>
    <t>COMP TEFLÓN DOMESTICO 1/2'</t>
  </si>
  <si>
    <t>COMP TEFLÓN DOMESTICO 3/4'</t>
  </si>
  <si>
    <t>PVC SANITARIO GRIS</t>
  </si>
  <si>
    <t>TUBOS SANT GRIS</t>
  </si>
  <si>
    <t>13005NN</t>
  </si>
  <si>
    <t>PVC SAN GRIS TUBO N.NORMA 6M 40 N</t>
  </si>
  <si>
    <t>13006NN</t>
  </si>
  <si>
    <t>PVC SAN GRIS TUBO N.NORMA 6M 50 N</t>
  </si>
  <si>
    <t>13008NN</t>
  </si>
  <si>
    <t>PVC SAN GRIS TUBO N.NORMA 6M 75 N</t>
  </si>
  <si>
    <t>13010NN</t>
  </si>
  <si>
    <t>PVC SAN GRIS TUBO N.NORMA 6M 110 N</t>
  </si>
  <si>
    <t>13105NN</t>
  </si>
  <si>
    <t>PVC SAN GRIS TUBO N.NORMA 3M 40 N</t>
  </si>
  <si>
    <t>13106NN</t>
  </si>
  <si>
    <t>PVC SAN GRIS TUBO N.NORMA 3M 50 N</t>
  </si>
  <si>
    <t>13108NN</t>
  </si>
  <si>
    <t>PVC SAN GRIS TUBO N.NORMA 3M 75 N</t>
  </si>
  <si>
    <t>13110NN</t>
  </si>
  <si>
    <t>PVC SAN GRIS TUBO N.NORMA 3M 110 N</t>
  </si>
  <si>
    <t>13205NN</t>
  </si>
  <si>
    <t>PVC SAN GRIS TUBO N.NORMA 1M 40 N</t>
  </si>
  <si>
    <t>13206NN</t>
  </si>
  <si>
    <t>PVC SAN GRIS TUBO N.NORMA 1M 50 N</t>
  </si>
  <si>
    <t>13208NN</t>
  </si>
  <si>
    <t>PVC SAN GRIS TUBO N.NORMA 1M 75 N</t>
  </si>
  <si>
    <t>13210NN</t>
  </si>
  <si>
    <t>PVC SAN GRIS TUBO N.NORMA 1M 110 N</t>
  </si>
  <si>
    <t>FITTING SANT GRIS</t>
  </si>
  <si>
    <t>PVC SAN GRIS FT CODO 45° 40 I</t>
  </si>
  <si>
    <t>PVC SAN GRIS FT CODO 45° 50 I</t>
  </si>
  <si>
    <t>PVC SAN GRIS FT CODO 45° 75 I</t>
  </si>
  <si>
    <t>PVC SAN GRIS FT CODO 45° 110 I</t>
  </si>
  <si>
    <t>PVC SAN GRIS FT CODO 87,5° 40 I</t>
  </si>
  <si>
    <t>PVC SAN GRIS FT CODO 87,5° 50 I</t>
  </si>
  <si>
    <t>PVC SAN GRIS FT CODO 87,5° 75 I</t>
  </si>
  <si>
    <t>PVC SAN GRIS FT CODO 87,5° 110 I</t>
  </si>
  <si>
    <t>PVC SAN GRIS FT COPLA 40 I</t>
  </si>
  <si>
    <t>PVC SAN GRIS FT COPLA 50 I</t>
  </si>
  <si>
    <t>PVC SAN GRIS FT COPLA 75 I</t>
  </si>
  <si>
    <t>PVC SAN GRIS FT COPLA 110 I</t>
  </si>
  <si>
    <t>PVC SAN GRIS FT COPLA RED 50 40  I</t>
  </si>
  <si>
    <t>PVC SAN GRIS FT COPLA RED 75 50  I</t>
  </si>
  <si>
    <t>PVC SAN GRIS FT COPLA RED 110 50  I</t>
  </si>
  <si>
    <t>PVC SAN GRIS FT COPLA RED 110 75  I</t>
  </si>
  <si>
    <t>PVC SAN GRIS FT TAPA 40 I</t>
  </si>
  <si>
    <t>PVC SAN GRIS FT TAPA 50 I</t>
  </si>
  <si>
    <t>PVC SAN GRIS FT TAPA 75 I</t>
  </si>
  <si>
    <t>PVC SAN GRIS FT TAPA 110 I</t>
  </si>
  <si>
    <t>PVC SAN GRIS FT TEE 40 40 I</t>
  </si>
  <si>
    <t>PVC SAN GRIS FT TEE 50 50 I</t>
  </si>
  <si>
    <t>PVC SAN GRIS FT TEE 75 75 I</t>
  </si>
  <si>
    <t>PVC SAN GRIS FT TEE 110 110 I</t>
  </si>
  <si>
    <t>PVC SAN GRIS FT TEE RED 75 40 N</t>
  </si>
  <si>
    <t>PVC SAN GRIS FT TEE RED 75 50 I</t>
  </si>
  <si>
    <t>PVC SAN GRIS FT TEE RED 110 40 I</t>
  </si>
  <si>
    <t>PVC SAN GRIS FT TEE RED 110 50 I</t>
  </si>
  <si>
    <t>PVC SAN GRIS FT TEE RED 110 75 I</t>
  </si>
  <si>
    <t>PVC SAN GRIS FT TEE REG 75 N</t>
  </si>
  <si>
    <t>PVC SAN GRIS FT TEE REG 110 N</t>
  </si>
  <si>
    <t>PVC SAN GRIS FT VEE 40  40 I</t>
  </si>
  <si>
    <t>PVC SAN GRIS FT VEE 50  50 I</t>
  </si>
  <si>
    <t>PVC SAN GRIS FT VEE 75  75  I</t>
  </si>
  <si>
    <t>PVC SAN GRIS FT VEE 110 110 I</t>
  </si>
  <si>
    <t>PVC SAN GRIS FT VEE RED 75  40  N</t>
  </si>
  <si>
    <t>PVC SAN GRIS FT VEE RED 75  50  I</t>
  </si>
  <si>
    <t>PVC SAN GRIS FT VEE RED 110  40  I</t>
  </si>
  <si>
    <t>PVC SAN GRIS FT VEE RED 110  50  I</t>
  </si>
  <si>
    <t>PVC SAN GRIS FT VEE RED 110  75  I</t>
  </si>
  <si>
    <t>PVC SAN GRIS ACC ABRAZADERA 40 N</t>
  </si>
  <si>
    <t>PVC SAN GRIS ACC ABRAZADERA 50 N</t>
  </si>
  <si>
    <t>PVC SAN GRIS ACC ABRAZADERA 75 N</t>
  </si>
  <si>
    <t>PVC SAN GRIS ACC ABRAZADERA 110 N</t>
  </si>
  <si>
    <t>PILETAS SANT GRIS</t>
  </si>
  <si>
    <t>PILETAS</t>
  </si>
  <si>
    <t>PVC SAN GRIS ACC PILETA 110 50/40 . N</t>
  </si>
  <si>
    <t>PVC SAN GRIS ACC PILETA 110 UNIVERSAL N</t>
  </si>
  <si>
    <t>PVC SAN GRIS ACC REJILLA REP PILETA N</t>
  </si>
  <si>
    <t>TUBERÍA PLUVIAL EXT. GRIS OSCURO NO CERT.</t>
  </si>
  <si>
    <t>TUBO OTROS</t>
  </si>
  <si>
    <t>PVC GRIS OSC TUBO 6M PLUV EXT N.C. 40</t>
  </si>
  <si>
    <t>PVC GRIS OSC TUBO 6M PLUV EXT N.C. 50</t>
  </si>
  <si>
    <t>PVC GRIS OSC TUBO 6M PLUV EXT N.C. 75</t>
  </si>
  <si>
    <t>PVC GRIS OSC TUBO 6M PLUV EXT N.C. 110</t>
  </si>
  <si>
    <t>PVC GRIS OS TUBO 3M PLUV EXT N.C. 40 *AP</t>
  </si>
  <si>
    <t>PVC GRIS OS TUBO 3M PLUV EXT N.C. 50 *AP</t>
  </si>
  <si>
    <t>PVC GRIS OS TUBO 3M PLUV EXT N.C. 75 *AP</t>
  </si>
  <si>
    <t>PVC GRIS OS TUBO 3M PLUV EXT N.C. 110*AP</t>
  </si>
  <si>
    <t>PVC GRIS OS TUBO 1M PLUV EXT N.C. 40 *AP</t>
  </si>
  <si>
    <t>PVC GRIS OS TUBO 1M PLUV EXT N.C. 50 *AP</t>
  </si>
  <si>
    <t>PVC GRIS OS TUBO 1M PLUV EXT N.C. 75 *AP</t>
  </si>
  <si>
    <t>PVC GRIS OS TUBO 1M PLUV EX N.C. 110 *AP</t>
  </si>
  <si>
    <t>TUBO COLECTOR SN2 HASTA SN8</t>
  </si>
  <si>
    <t>TUBERÍA PVC COLECTOR</t>
  </si>
  <si>
    <t>TUBO COLECTOR 200 X 6MTS SN2 *AP</t>
  </si>
  <si>
    <t>TUBO COLECTOR 250 X 6MTS SN2 *AP</t>
  </si>
  <si>
    <t>TUBO COLECTOR 160 X 6MTS SN4 *AP</t>
  </si>
  <si>
    <t>TUBO COLECTOR 200 X 6MTS SN4 *AP</t>
  </si>
  <si>
    <t>TUBO COLECTOR 250 X 6MTS SN4 *AP</t>
  </si>
  <si>
    <t>TUBO COLECTOR 110 X 6MTS SN8 *AP</t>
  </si>
  <si>
    <t>TUBO COLECTOR 160 X 6MTS SN8 *AP</t>
  </si>
  <si>
    <t>TUBO COLECTOR 200 X 6MTS SN8 *AP</t>
  </si>
  <si>
    <t>TUBO COLECTOR 250 X 6MTS SN8 *AP</t>
  </si>
  <si>
    <t>PVC SANITARIO BLANCO</t>
  </si>
  <si>
    <t>TUBOS SANT BLANCO</t>
  </si>
  <si>
    <t>14005NN</t>
  </si>
  <si>
    <t>PVC SAN BLCO TUBO N.NORMA 6M 40 N</t>
  </si>
  <si>
    <t>14006NN</t>
  </si>
  <si>
    <t>PVC SAN BLCO TUBO N.NORMA 6M 50 N</t>
  </si>
  <si>
    <t>14008NN</t>
  </si>
  <si>
    <t>PVC SAN BLCO TUBO N.NORMA 6M 75 N</t>
  </si>
  <si>
    <t>14010NN</t>
  </si>
  <si>
    <t>PVC SAN BLCO TUBO N.NORMA 6M 110 N</t>
  </si>
  <si>
    <t>14016NN</t>
  </si>
  <si>
    <t>PVC SAN BLCO TUBO N.NORMA 6M 160 N</t>
  </si>
  <si>
    <t>FITTING SANT BLANCO</t>
  </si>
  <si>
    <t>PVC SAN BLCO FT CODO 45° 40 I</t>
  </si>
  <si>
    <t>PVC SAN BLCO FT CODO 45° 50 I</t>
  </si>
  <si>
    <t>PVC SAN BLCO FT CODO 45° 75 I</t>
  </si>
  <si>
    <t>PVC SAN BLCO FT CODO 45° 110 I</t>
  </si>
  <si>
    <t>PVC SAN BLCO FT CODO 45° 160 I</t>
  </si>
  <si>
    <t>PVC SAN BLCO FT CODO 87,5° 40 I</t>
  </si>
  <si>
    <t>PVC SAN BLCO FT CODO 87,5° 50 I</t>
  </si>
  <si>
    <t>PVC SAN BLCO FT CODO 87,5° 75 I</t>
  </si>
  <si>
    <t>PVC SAN BLCO FT CODO 87,5° 110 I</t>
  </si>
  <si>
    <t>PVC SAN BLCO FT CODO 87,5° 160 I</t>
  </si>
  <si>
    <t>PVC SAN BLCO FT CODO REG 110 I</t>
  </si>
  <si>
    <t>PVC SAN BLCO CODO REGIST DOBLE ORING 110</t>
  </si>
  <si>
    <t>PVC SAN BLCO CODO REGIST DOBLE ORING 160</t>
  </si>
  <si>
    <t>PVC SAN BLCO FT COPLA 40 N</t>
  </si>
  <si>
    <t>PVC SAN BLCO FT COPLA 50 I</t>
  </si>
  <si>
    <t>PVC SAN BLCO FT COPLA 75 I</t>
  </si>
  <si>
    <t>PVC SAN BLCO FT COPLA 110 I</t>
  </si>
  <si>
    <t>PVC SAN BLCO FT COPLA 160 I</t>
  </si>
  <si>
    <t>PVC SAN BLCO FT COPLA REP 110 N</t>
  </si>
  <si>
    <t>PVC SAN BLCO FT COPLA REP 160 N</t>
  </si>
  <si>
    <t>PVC SAN BLCO FT TEE 40 40 N</t>
  </si>
  <si>
    <t>PVC SAN BLCO FT TEE 50 50 I</t>
  </si>
  <si>
    <t>PVC SAN BLCO FT TEE 75 75 I</t>
  </si>
  <si>
    <t>PVC SAN BLCO FT TEE 110 110 I</t>
  </si>
  <si>
    <t>PVC SAN BLCO FT TEE 160 160 I</t>
  </si>
  <si>
    <t>PVC SAN BLCO FT TEE RED 75 40 N</t>
  </si>
  <si>
    <t>PVC SAN BLCO FT TEE RED 75 50 I</t>
  </si>
  <si>
    <t>PVC SAN BLCO FT TEE RED 110 40 I</t>
  </si>
  <si>
    <t>PVC SAN BLCO FT TEE RED 110 50 I</t>
  </si>
  <si>
    <t>PVC SAN BLCO FT TEE RED 110 75 I</t>
  </si>
  <si>
    <t>PVC SAN BLCO FT TEE RED 160 110 I</t>
  </si>
  <si>
    <t>PVC SAN BLCO FT TEE REG. 75 N</t>
  </si>
  <si>
    <t>PVC SAN BLCO FT TEE REG. 110 I</t>
  </si>
  <si>
    <t>PVC SAN BLCO FT TEE REG. 160 I</t>
  </si>
  <si>
    <t>PVC SAN BLCO FT TAPA REG 110 I</t>
  </si>
  <si>
    <t>PVC SAN BLCO FT TAPA REG 160 I</t>
  </si>
  <si>
    <t>PVC SAN BLCO FT VEE 40 40 N</t>
  </si>
  <si>
    <t>PVC SAN BLCO FT VEE  50 50 I</t>
  </si>
  <si>
    <t>PVC SAN BLCO FT VEE 75 75 I</t>
  </si>
  <si>
    <t>PVC SAN BLCO FT VEE 110 110 I</t>
  </si>
  <si>
    <t>PVC SAN BLCO FT VEE 160 160 I</t>
  </si>
  <si>
    <t>PVC SAN BLCO FT VEE RED 75 40 N</t>
  </si>
  <si>
    <t>PVC SAN BLCO FT VEE RED 75 50 I</t>
  </si>
  <si>
    <t>PVC SAN BLCO FT VEE RED 110 40 I</t>
  </si>
  <si>
    <t>PVC SAN BLCO FT VEE RED 110 50 I</t>
  </si>
  <si>
    <t>PVC SAN BLCO FT VEE RED 110 75 I</t>
  </si>
  <si>
    <t>PVC SAN BLCO FT VEE RED 160 110 I</t>
  </si>
  <si>
    <t>PVC SAN BLCO FT RED 50 40 N</t>
  </si>
  <si>
    <t>PVC SAN BLCO FT RED 75 50 I</t>
  </si>
  <si>
    <t>PVC SAN BLCO FT RED 110 50 I</t>
  </si>
  <si>
    <t>PVC SAN BLCO FT RED 110 75 I</t>
  </si>
  <si>
    <t>PVC SAN BLCO FT RED 160 110 I</t>
  </si>
  <si>
    <t>PVC SAN BLCO FT TAPA 40 I</t>
  </si>
  <si>
    <t>PVC SAN BLCO FT TAPA 50 I</t>
  </si>
  <si>
    <t>PVC SAN BLCO FT TAPA 75 I</t>
  </si>
  <si>
    <t>PVC SAN BLCO FT TAPA 110 I</t>
  </si>
  <si>
    <t>PVC SAN BLCO FT TAPA 160 I</t>
  </si>
  <si>
    <t>VÁLVULAS AIREADORAS</t>
  </si>
  <si>
    <t>PVC SAN BLCO ACC VAL ADMISION AIRE 50MM</t>
  </si>
  <si>
    <t>PVC SAN BLCO ACC VAL ADMISION AIRE 110MM</t>
  </si>
  <si>
    <t>PVC SAN BLCO ACC ADAPT GOMA 32-63MM</t>
  </si>
  <si>
    <t>PVC PRESION / HIDRÁULICO</t>
  </si>
  <si>
    <t>TUBO PVC PRESION</t>
  </si>
  <si>
    <t>PVC PRE TUBO 6M 20 PN16 N</t>
  </si>
  <si>
    <t>PVC PRE TUBO 6M 25 PN12,5 N</t>
  </si>
  <si>
    <t>PVC PRE TUBO 6M 32 PN10 N</t>
  </si>
  <si>
    <t>PVC PRE TUBO 6M 40 PN10 N</t>
  </si>
  <si>
    <t>PVC PRE TUBO 6M 50 PN10 N</t>
  </si>
  <si>
    <t>PVC PRE TUBO 6M 63 PN10 N</t>
  </si>
  <si>
    <t>PVC PRE TUBO 6M 75 PN10 N</t>
  </si>
  <si>
    <t>PVC PRE TUBO 6M 90 PN10 N</t>
  </si>
  <si>
    <t>PVC PRE TUBO 6M 110 PN10 N</t>
  </si>
  <si>
    <t>PVC PRE TUBO 6M 125 PN10 N</t>
  </si>
  <si>
    <t>PVC PRE TUBO 6M 160 PN10 N</t>
  </si>
  <si>
    <t>PVC PRE TUBO 3M 20 PN16 N</t>
  </si>
  <si>
    <t>PVC PRE TUBO 3M 25 PN12,5 N</t>
  </si>
  <si>
    <t>PVC PRE TUBO 3M 32 PN10 N</t>
  </si>
  <si>
    <t>PVC PRE TUBO 3M 40 PN10 N</t>
  </si>
  <si>
    <t>PVC PRE TUBO 3M 50 PN10 N</t>
  </si>
  <si>
    <t>PVC PRE TUBO 1M 20 PN16 N</t>
  </si>
  <si>
    <t>PVC PRE TUBO 1M 25 PN12,5 N</t>
  </si>
  <si>
    <t>PVC PRE TUBO 1M 32 PN10 N</t>
  </si>
  <si>
    <t>PVC PRE TUBO 1M 40 PN10 N</t>
  </si>
  <si>
    <t>PVC PRE TUBO 1M 50 PN10 N</t>
  </si>
  <si>
    <t>PVC PRE TUBO 6M 40 PN6 N</t>
  </si>
  <si>
    <t>PVC PRE TUBO 6M 50 PN6 N</t>
  </si>
  <si>
    <t>PVC PRE TUBO 6M 63 PN6 N</t>
  </si>
  <si>
    <t>PVC PRE TUBO 6M 75 PN6 N</t>
  </si>
  <si>
    <t>PVC PRE TUBO 6M 90 PN6 N</t>
  </si>
  <si>
    <t>PVC PRE TUBO 6M 110 PN6 N</t>
  </si>
  <si>
    <t>PVC PRE TUBO 6M 125 PN6 N</t>
  </si>
  <si>
    <t>PVC PRE TUBO 6M 140 PN6 N</t>
  </si>
  <si>
    <t>PVC PRE TUBO 6M 160 PN6 N</t>
  </si>
  <si>
    <t>PVC PRE TUBO 6M 200 PN6 N</t>
  </si>
  <si>
    <t>LLAVES Y VÁLVULAS PVC PRESIÓN</t>
  </si>
  <si>
    <t>PVC PRE LL/V VALVULA BOLA 20 I</t>
  </si>
  <si>
    <t>PVC PRE LL/V VALVULA BOLA 25 I</t>
  </si>
  <si>
    <t>PVC PRE LL/V VALVULA BOLA 32 I</t>
  </si>
  <si>
    <t>PVC PRE LL/V VALVULA BOLA 40 I</t>
  </si>
  <si>
    <t>PVC PRE LL/V VALVULA BOLA 50 I</t>
  </si>
  <si>
    <t>PVC PRE LL/V VALVULA BOLA 63 I</t>
  </si>
  <si>
    <t>PVC PRE LL/V VÁLVULA BOLA HI -HI 1/2</t>
  </si>
  <si>
    <t>PVC PRE LL/V VÁLVULA BOLA HI -HI 3/4</t>
  </si>
  <si>
    <t>PVC PRE LL/V VÁLVULA BOLA HI -HI 1</t>
  </si>
  <si>
    <t>PVC PRE LL/V VÁLVULA BOLA HI -HI 1 1/4</t>
  </si>
  <si>
    <t>PVC PRE LL/V VÁLVULA BOLA HI -HI 1 1/2</t>
  </si>
  <si>
    <t>PVC PRE LL/V VÁLVULA BOLA HI -HI 2</t>
  </si>
  <si>
    <t>PVC PRE LL/V VÁLVULA BOLA HI -HI 2.5</t>
  </si>
  <si>
    <t>PVC PRE LL/V VÁLVULA BOLA HI -HI 3</t>
  </si>
  <si>
    <t>PVC PRE LL/V VÁLVULA BOLA HI -HI 4</t>
  </si>
  <si>
    <t>PVC PRE LLAVE BOLA DOBLE U.AMER 20 HI-HI</t>
  </si>
  <si>
    <t>PVC PRE LLAVE BOLA DOBLE U.AMER 25 HI-HI</t>
  </si>
  <si>
    <t>PVC PRE LLAVE BOLA DOBLE U.AMER 32 HI-HI</t>
  </si>
  <si>
    <t>PVC PRE LLAVE BOLA DOBLE U.AMER 40 HI-HI</t>
  </si>
  <si>
    <t>PVC PRE LLAVE BOLA DOBLE U.AMER 50 HI-HI</t>
  </si>
  <si>
    <t>PVC PRE LLAVE BOLA DOBLE U.AMER 63 HI-HI</t>
  </si>
  <si>
    <t>PVC PRE LL/V V. BOLA  HI-U.AMER 20</t>
  </si>
  <si>
    <t>PVC PRE LL/V V. BOLA  HI-U.AMER 25</t>
  </si>
  <si>
    <t>PVC PRE LL/V V. BOLA  HI-U.AMER 32</t>
  </si>
  <si>
    <t>PVC PRE LL/V V. BOLA  HI-U.AMER 40</t>
  </si>
  <si>
    <t>PVC PRE LL/V V. BOLA  HI-U.AMER 50</t>
  </si>
  <si>
    <t>PVC PRE LL/V V. BOLA  HI-U.AMER 63</t>
  </si>
  <si>
    <t>FITTING PVC PRESION</t>
  </si>
  <si>
    <t>PVC PRE FT UNION AMERICANA 20 CEM I</t>
  </si>
  <si>
    <t>PVC PRE FT UNION AMERICANA 25 CEM I</t>
  </si>
  <si>
    <t>PVC PRE FT UNION AMERICANA 32 CEM I</t>
  </si>
  <si>
    <t>PVC PRE FT UNION AMERICANA 40 CEM I</t>
  </si>
  <si>
    <t>PVC PRE FT UNION AMERICANA 50 CEM I</t>
  </si>
  <si>
    <t>PVC PRE FT UNION AMERICANA 63 CEM I</t>
  </si>
  <si>
    <t>PVC PRE FT SALIDA ESTANQUE 32 X 1' I</t>
  </si>
  <si>
    <t>PVC PRE FT SALIDA ESTANQUE 40 X 1 1/4' I</t>
  </si>
  <si>
    <t>PVC PRE FT SALIDA ESTANQUE 50 X 1 1/2' I</t>
  </si>
  <si>
    <t>PVC PRE ACC ABRAZADERA 20 I</t>
  </si>
  <si>
    <t>PVC PRE ACC ABRAZADERA 25 I</t>
  </si>
  <si>
    <t>PVC PRE ACC ABRAZADERA 32 I</t>
  </si>
  <si>
    <t>PVC PRE ACC ABRAZADERA 40 I</t>
  </si>
  <si>
    <t>PVC PRE ACC ABRAZADERA 50 I</t>
  </si>
  <si>
    <t>PVC PRE FT CODO 45° 20 CEM I</t>
  </si>
  <si>
    <t>PVC PRE FT CODO 45° 25 CEM I</t>
  </si>
  <si>
    <t>PVC PRE FT CODO 45° 32 CEM I</t>
  </si>
  <si>
    <t>PVC PRE FT CODO 45° 40 CEM I</t>
  </si>
  <si>
    <t>PVC PRE FT CODO 45° 50 CEM I</t>
  </si>
  <si>
    <t>PVC PRE FT CODO 45° 63 CEM I</t>
  </si>
  <si>
    <t>PVC PRE FT CODO 45° 75 CEM I</t>
  </si>
  <si>
    <t>PVC PRE FT CODO 45° 90 CEM I</t>
  </si>
  <si>
    <t>PVC PRE FT CODO 45° 110 CEM I</t>
  </si>
  <si>
    <t>PVC PRE FT CODO 45° 125 CEM I</t>
  </si>
  <si>
    <t>PVC PRE FT CODO 45° 160 CEM I</t>
  </si>
  <si>
    <t>PVC PRE FT CODO 90° 20 CEM I</t>
  </si>
  <si>
    <t>PVC PRE FT CODO 90° 25 CEM I</t>
  </si>
  <si>
    <t>PVC PRE FT CODO 90° 32 CEM I</t>
  </si>
  <si>
    <t>PVC PRE FT CODO 90° 40 CEM I</t>
  </si>
  <si>
    <t>PVC PRE FT CODO 90° 50 CEM I</t>
  </si>
  <si>
    <t>PVC PRE FT CODO 90° 63 CEM I</t>
  </si>
  <si>
    <t>PVC PRE FT CODO 90° 75 CEM I</t>
  </si>
  <si>
    <t>PVC PRE FT CODO 90° 90 CEM I</t>
  </si>
  <si>
    <t>PVC PRE FT CODO 90° 110 CEM I</t>
  </si>
  <si>
    <t>PVC PRE FT CODO 90° 125 CEM I</t>
  </si>
  <si>
    <t>PVC PRE FT CODO 90° 160 CEM I</t>
  </si>
  <si>
    <t>PVC PRE FT CODO 90° HI CEM 20 1/2' I</t>
  </si>
  <si>
    <t>PVC PRE FT CODO 90° HI CEM 25 3/4' I</t>
  </si>
  <si>
    <t>PVC PRE FT CODO 90° HI CEM 32 1' I</t>
  </si>
  <si>
    <t>PVC PRE FT CODO 90° RED 25 20 I</t>
  </si>
  <si>
    <t>PVC PRE FT CODO 90° RED 32 25 I</t>
  </si>
  <si>
    <t>PVC PRE FT CODO 90° RED 40 32 I</t>
  </si>
  <si>
    <t>PVC PRE FT TERMINAL HI CEM 20 1/2' I</t>
  </si>
  <si>
    <t>PVC PRE FT TERMINAL HI CEM 25 3/4' I</t>
  </si>
  <si>
    <t>PVC PRE FT TERMINAL HI CEM 32 1' I</t>
  </si>
  <si>
    <t>PVC PRE FT TERMINAL HI CEM 40 1 1/4' I</t>
  </si>
  <si>
    <t>PVC PRE FT TERMINAL HI CEM 50 1 1/2' I</t>
  </si>
  <si>
    <t>PVC PRE FT TERMINAL HI CEM 63 2' I</t>
  </si>
  <si>
    <t>PVC PRE TERMINAL HI CEM 75 X 2 1/2''</t>
  </si>
  <si>
    <t>PVC PRE FT TERMINAL HI CEM 90 X 3'' ' I</t>
  </si>
  <si>
    <t>PVC PRE FT TERMINAL HI CEM 110 4' I</t>
  </si>
  <si>
    <t>PVC PRE FT TERMINAL HE CEM 20 1/2' I</t>
  </si>
  <si>
    <t>PVC PRE FT TERMINAL HE CEM 25 3/4' I</t>
  </si>
  <si>
    <t>PVC PRE FT TERMINAL HE CEM 32 1' I</t>
  </si>
  <si>
    <t>PVC PRE FT TERMINAL HE CEM 40 1 1/4' I</t>
  </si>
  <si>
    <t>PVC PRE FT TERMINAL HE CEM 50 1 1/2' I</t>
  </si>
  <si>
    <t>PVC PRE FT TERMINAL HE CEM 63 2' I</t>
  </si>
  <si>
    <t>PVC PRE TERMINAL HE CEM 75 X 2 1/2''</t>
  </si>
  <si>
    <t>PVC PRE FT TERMINAL HE CEM 90 X 3 '' ' I</t>
  </si>
  <si>
    <t>PVC PRE TERMINAL HE CEM 110 X 4''</t>
  </si>
  <si>
    <t>PVC PRE FT COPLA 20 CEM I</t>
  </si>
  <si>
    <t>PVC PRE FT COPLA 25 CEM I</t>
  </si>
  <si>
    <t>PVC PRE FT COPLA 32 CEM I</t>
  </si>
  <si>
    <t>PVC PRE FT COPLA 40 CEM I</t>
  </si>
  <si>
    <t>PVC PRE FT COPLA 50 CEM I</t>
  </si>
  <si>
    <t>PVC PRE FT COPLA 63 CEM I</t>
  </si>
  <si>
    <t>PVC PRE FT COPLA 75 CEM I</t>
  </si>
  <si>
    <t>PVC PRE FT COPLA 90 CEM I</t>
  </si>
  <si>
    <t>PVC PRE FT COPLA 110 CEM I</t>
  </si>
  <si>
    <t>PVC PRE FT COPLA 125 CEM I</t>
  </si>
  <si>
    <t>PVC PRE FT COPLA 160 CEM I</t>
  </si>
  <si>
    <t>PVC PRE FT COPLA 200 CEM I</t>
  </si>
  <si>
    <t>PVC PRE FT COPLA HI HI 1/2 I</t>
  </si>
  <si>
    <t>PVC PRE FT COPLA HI HI 3/4 I</t>
  </si>
  <si>
    <t>PVC PRE FT COPLA HI HI 1 I</t>
  </si>
  <si>
    <t>PVC PRE FT TEE 20 CEM I</t>
  </si>
  <si>
    <t>PVC PRE FT TEE 25 CEM I</t>
  </si>
  <si>
    <t>PVC PRE FT TEE 32 CEM I</t>
  </si>
  <si>
    <t>PVC PRE FT TEE 40 CEM I</t>
  </si>
  <si>
    <t>PVC PRE FT TEE 50 CEM I</t>
  </si>
  <si>
    <t>PVC PRE FT TEE 63 CEM I</t>
  </si>
  <si>
    <t>PVC PRE FT TEE 75 CEM I</t>
  </si>
  <si>
    <t>PVC PRE FT TEE 90 CEM I</t>
  </si>
  <si>
    <t>PVC PRE FT TEE 110 CEM I</t>
  </si>
  <si>
    <t>PVC PRE FT TEE 125 CEM I</t>
  </si>
  <si>
    <t>PVC PRE FT TEE 160 CEM I</t>
  </si>
  <si>
    <t>PVC PRE FT TEE RED 25 20 CEM I</t>
  </si>
  <si>
    <t>PVC PRE FT TEE RED 32 20 CEM I</t>
  </si>
  <si>
    <t>PVC PRE FT TEE RED 32 25 CEM I</t>
  </si>
  <si>
    <t>PVC PRE FT TEE RED 40 20 CEM I</t>
  </si>
  <si>
    <t>PVC PRE FT TEE RED 40 25 CEM I</t>
  </si>
  <si>
    <t>PVC PRE FT TEE RED 40 32 CEM I</t>
  </si>
  <si>
    <t>PVC PRE FT TEE RED 50 20 CEM I</t>
  </si>
  <si>
    <t>PVC PRE FT TEE RED 50 25 CEM I</t>
  </si>
  <si>
    <t>PVC PRE FT TEE RED 50 32 CEM I</t>
  </si>
  <si>
    <t>PVC PRE FT TEE RED 50 40 CEM I</t>
  </si>
  <si>
    <t>PVC PRE FT TEE RED 63 25 CEM I</t>
  </si>
  <si>
    <t>PVC PRE FT TEE RED 63 32 CEM I</t>
  </si>
  <si>
    <t>PVC PRE FT TEE RED 63 40 CEM I</t>
  </si>
  <si>
    <t>PVC PRE FT TEE RED 63 50 CEM I</t>
  </si>
  <si>
    <t>PVC PRE FT TEE RED 75 40 CEM I</t>
  </si>
  <si>
    <t>PVC PRE FT TEE RED 75 50 CEM I</t>
  </si>
  <si>
    <t>PVC PRE FT TEE RED 75 63 CEM I</t>
  </si>
  <si>
    <t>PVC PRE FT TEE RED 90 50 CEM I</t>
  </si>
  <si>
    <t>PVC PRE FT TEE RED 90 63 CEM I</t>
  </si>
  <si>
    <t>PVC PRE FT TEE RED 90 75 CEM I</t>
  </si>
  <si>
    <t>PVC PRE FT TEE RED 110 50 CEM I</t>
  </si>
  <si>
    <t>PVC PRE FT TEE RED 110 63 CEM I</t>
  </si>
  <si>
    <t>PVC PRE FT TEE RED 110 75 CEM I</t>
  </si>
  <si>
    <t>PVC PRE FT TEE RED 110 90 CEM I</t>
  </si>
  <si>
    <t>PVC PRE FT TEE RED 125 90 CEM I</t>
  </si>
  <si>
    <t>PVC PRE FT TEE RED 125 110 CEM I</t>
  </si>
  <si>
    <t>PVC PRE FT TEE RED 160 75 CEM I</t>
  </si>
  <si>
    <t>PVC PRE FT TEE RED 160 90 CEM I</t>
  </si>
  <si>
    <t>PVC PRE FT TEE RED 160 110 CEM I</t>
  </si>
  <si>
    <t>PVC PRE FT TEE RED 160 125 CEM I</t>
  </si>
  <si>
    <t>PVC PRE FT TEE HI 20X1/2</t>
  </si>
  <si>
    <t>PVC PRE FT TEE HI 25X1/2</t>
  </si>
  <si>
    <t>PVC PRE FT TEE HI 25X3/4</t>
  </si>
  <si>
    <t>PVC PRE FT TEE HI 32X1/2</t>
  </si>
  <si>
    <t>PVC PRE FT TEE HI 32X3/4</t>
  </si>
  <si>
    <t>PVC PRE FT TEE HI 32X1</t>
  </si>
  <si>
    <t>PVC PRE FT TEE HI 40X1-1/4</t>
  </si>
  <si>
    <t>PVC PRE FT TEE HI 50X1-1/2</t>
  </si>
  <si>
    <t>PVC PRE FT TEE HI 50X1/2</t>
  </si>
  <si>
    <t>PVC PRE FT TEE HI 63X1/2</t>
  </si>
  <si>
    <t>PVC PRE FT TEE HI 63X3/4</t>
  </si>
  <si>
    <t>PVC PRE FT TEE HI 63X2</t>
  </si>
  <si>
    <t>PVC PRE FT VEE 110 CEM I</t>
  </si>
  <si>
    <t>PVC PRE FT BUJE RED LAR 25 20 CEM I</t>
  </si>
  <si>
    <t>PVC PRE FT BUJE RED LAR 32 20 CEM I</t>
  </si>
  <si>
    <t>PVC PRE FT BUJE RED LAR 32 25 CEM I</t>
  </si>
  <si>
    <t>PVC PRE FT BUJE RED LAR 40 20 CEM I</t>
  </si>
  <si>
    <t>PVC PRE FT BUJE RED LAR 40 25 CEM I</t>
  </si>
  <si>
    <t>PVC PRE FT BUJE RED LAR 40 32 CEM I</t>
  </si>
  <si>
    <t>PVC PRE FT BUJE RED LAR 50 20 CEM I</t>
  </si>
  <si>
    <t>PVC PRE FT BUJE RED LAR 50 25 CEM I</t>
  </si>
  <si>
    <t>PVC PRE FT BUJE RED LAR 50 32 CEM I</t>
  </si>
  <si>
    <t>PVC PRE FT BUJE RED LAR 50 40 CEM I</t>
  </si>
  <si>
    <t>PVC PRE FT BUJE RED LAR 63 25 CEM I</t>
  </si>
  <si>
    <t>PVC PRE FT BUJE RED LAR 63 32 CEM I</t>
  </si>
  <si>
    <t>PVC PRE FT BUJE RED LAR 63 40 CEM I</t>
  </si>
  <si>
    <t>PVC PRE FT BUJE RED LAR 63 50 CEM I</t>
  </si>
  <si>
    <t>PVC PRE FT BUJE RED LAR 75 50 CEM I</t>
  </si>
  <si>
    <t>PVC PRE FT BUJE RED LAR 75 63 CEM I</t>
  </si>
  <si>
    <t>PVC PRE FT BUJE RED LAR 90 63 CEM I</t>
  </si>
  <si>
    <t>PVC PRE FT BUJE RED LAR 90 75 CEM I</t>
  </si>
  <si>
    <t>PVC PRE FT BUJE RED LAR 110 50 CEM I</t>
  </si>
  <si>
    <t>PVC PRE FT BUJE RED LAR 110 63 CEM I</t>
  </si>
  <si>
    <t>PVC PRE FT BUJE RED LAR 110 75 CEM I</t>
  </si>
  <si>
    <t>PVC PRE FT BUJE RED LAR 110 90 CEM I</t>
  </si>
  <si>
    <t>PVC PRE FT BUJE RED LAR 125 63 CEM I</t>
  </si>
  <si>
    <t>PVC PRE FT BUJE RED LAR 125 75 CEM I</t>
  </si>
  <si>
    <t>PVC PRE FT BUJE RED LAR 125 90 CEM I</t>
  </si>
  <si>
    <t>PVC PRE FT BUJE RED LAR 125 110 CEM I</t>
  </si>
  <si>
    <t>PVC PRE FT BUJE RED LAR 160 90 CEM I</t>
  </si>
  <si>
    <t>PVC PRE FT BUJE RED LAR 160 110 CEM I</t>
  </si>
  <si>
    <t>PVC PRE FT BUJE RED LAR 160 125 CEM I</t>
  </si>
  <si>
    <t>PVC PRE FT BUJE RED LAR 200 110 CEM I</t>
  </si>
  <si>
    <t>PVC PRE FT BUJE RED LAR 200 160 CEM I</t>
  </si>
  <si>
    <t>PVC PRE FT BUJE RED COR 25 20 CEM I</t>
  </si>
  <si>
    <t>PVC PRE FT BUJE RED COR 32 25 CEM I</t>
  </si>
  <si>
    <t>PVC PRE FT BUJE RED COR 40 32 CEM I</t>
  </si>
  <si>
    <t>PVC PRE FT BUJE RED COR 50 40 CEM I</t>
  </si>
  <si>
    <t>PVC PRE FT BUJE RED COR 63 50 CEM I</t>
  </si>
  <si>
    <t>PVC PRE FT BUJE RED HE-HI 3/4 X 1/2¨ I</t>
  </si>
  <si>
    <t>PVC PRE FT BUJE RED HE-HI 1 X 1/2¨ I</t>
  </si>
  <si>
    <t>PVC PRE FT BUJE RED HE-HI 1 X 3/4¨ I</t>
  </si>
  <si>
    <t>PVC PRE FT NIPLE 1/2¨ I</t>
  </si>
  <si>
    <t>PVC PRE FT NIPLE 3/4¨ I</t>
  </si>
  <si>
    <t>PVC PRE FT NIPLE 1¨ I</t>
  </si>
  <si>
    <t>PVC PRE FT TAPA 20 CEM I</t>
  </si>
  <si>
    <t>PVC PRE FT TAPA 25 CEM I</t>
  </si>
  <si>
    <t>PVC PRE FT TAPA 32 CEM I</t>
  </si>
  <si>
    <t>PVC PRE FT TAPA 40 CEM I</t>
  </si>
  <si>
    <t>PVC PRE FT TAPA 50 CEM I</t>
  </si>
  <si>
    <t>PVC PRE FT TAPA 63 CEM I</t>
  </si>
  <si>
    <t>PVC PRE FT TAPA HE 1/2¨ I</t>
  </si>
  <si>
    <t>PVC PRE FT TAPA HE 3/4¨ I</t>
  </si>
  <si>
    <t>PVC PRE FT TAPA HE 1¨ I</t>
  </si>
  <si>
    <t>PVC PRE FT TAPA HI 1/2' I</t>
  </si>
  <si>
    <t>PVC PRE FT TAPA HI 3/4' I</t>
  </si>
  <si>
    <t>PVC PRE FT TAPA HI 1' I</t>
  </si>
  <si>
    <t>INSTALACIÓN BAÑO Y COCINA</t>
  </si>
  <si>
    <t>SIFONES, DESAGÜES Y ACC.</t>
  </si>
  <si>
    <t>SAL. CURVA</t>
  </si>
  <si>
    <t>SIFON SALIDA CURVA 40MM E 1 1/2-1 1/4 I</t>
  </si>
  <si>
    <t>SAL. RECT.</t>
  </si>
  <si>
    <t>SIFON SALIDA RECTA 40MM E 1 1/2-1 1/4 I</t>
  </si>
  <si>
    <t>SIFON SALIDA CURVA  32MM E 1 1/4  I</t>
  </si>
  <si>
    <t>SIFON SALIDA RECTA 32MM E 1 1/4 I</t>
  </si>
  <si>
    <t>DOBLE</t>
  </si>
  <si>
    <t>SIFON DOBLE S/40-50 E 1 1/2 I</t>
  </si>
  <si>
    <t>SIFON CONEXIÓN DOBLE 1 1/2 I</t>
  </si>
  <si>
    <t>FLEX. ELONG.</t>
  </si>
  <si>
    <t>TUBO FLEXIBLE ELONG  1 ½'-1 ¼'-1' I</t>
  </si>
  <si>
    <t>CAPUCHÓN 40X32</t>
  </si>
  <si>
    <t>CAPUCHON REDUCCION 40X32 PARA SIFON</t>
  </si>
  <si>
    <t>CAPUCHÓN 50X40</t>
  </si>
  <si>
    <t>CAPUCHON REDUCCION 50X40 PARA SIFON</t>
  </si>
  <si>
    <t>CON REBALS.</t>
  </si>
  <si>
    <t>DESAGÜE UTILITY 1 1/2 CON REBALSE I</t>
  </si>
  <si>
    <t>SIN REBALS.</t>
  </si>
  <si>
    <t>DESAGÜE UTILITY 1 1/2 SIN REBALSE I</t>
  </si>
  <si>
    <t>DESAGÜE LAVAPLATOS 11/2 C/REBAL-TAP-CAD</t>
  </si>
  <si>
    <t>SIN COLA</t>
  </si>
  <si>
    <t>DESAGÜE S/COLA 1 1/4 I</t>
  </si>
  <si>
    <t>DESAGÜE S/COLA 1 1/2 I</t>
  </si>
  <si>
    <t>CON COLA</t>
  </si>
  <si>
    <t>DESAGÜE C/COLA 1 1/4 I</t>
  </si>
  <si>
    <t>DESAGÜE C/COLA 1 1/2 I</t>
  </si>
  <si>
    <t>ACCESORIOS WC</t>
  </si>
  <si>
    <t>SELLOS</t>
  </si>
  <si>
    <t>SELLO ANTIFUGAS WC I</t>
  </si>
  <si>
    <t>KITS</t>
  </si>
  <si>
    <t>KIT INSTALACION WC I</t>
  </si>
  <si>
    <t>COMBO VIRTUAL INSTALACION WC</t>
  </si>
  <si>
    <t>KIT LLAVE ANGULAR MAS FLEXIBLE I</t>
  </si>
  <si>
    <t>Blister</t>
  </si>
  <si>
    <t>SET PERNO ANCLAJE WC I</t>
  </si>
  <si>
    <t>FLAPPER</t>
  </si>
  <si>
    <t>FLAPPER ESTANQUE C/CADENA</t>
  </si>
  <si>
    <t>ADAPTADOR</t>
  </si>
  <si>
    <t>ADAPT RIGIDO WC EXENTRICO 110 I</t>
  </si>
  <si>
    <t>ADAPT RIGIDO WC CONCENTRICO 110 I</t>
  </si>
  <si>
    <t>DUCHAS</t>
  </si>
  <si>
    <t>DUCHA KIT CON FLEX 1,7MT I</t>
  </si>
  <si>
    <t>DUCHA KIT CON FLEX 1,7MT TOP LINEA I</t>
  </si>
  <si>
    <t>ACC. DUCHA</t>
  </si>
  <si>
    <t>DUCHA FLEX 1,7 MT I</t>
  </si>
  <si>
    <t>DUCHA FLEX 1,85 MT I</t>
  </si>
  <si>
    <t>DUCHA  SOPORTE I</t>
  </si>
  <si>
    <t>GRIFERIA</t>
  </si>
  <si>
    <t>COCINA</t>
  </si>
  <si>
    <t>GRIFERIA MEZCLADORA LAVAP CROM ANTONELLA</t>
  </si>
  <si>
    <t>BAÑO</t>
  </si>
  <si>
    <t>GRIFERIA MONOMANDO LAVATORIO CROM MIRAGE</t>
  </si>
  <si>
    <t>GRIFERIA MONOMANDO TINA-DUCHA CRO MIRAGE</t>
  </si>
  <si>
    <t>GRIFERIA MONOMANDO LAVAPLATO CROM MIRAGE</t>
  </si>
  <si>
    <t>COCINA-JARDÍN</t>
  </si>
  <si>
    <t>GRIFERIA LLAVE BOLA LAVADERO 1/2' ZAMAK</t>
  </si>
  <si>
    <t>GRIFERIA LLAVE BOLA LAVADERO 3/4' ZAMAK</t>
  </si>
  <si>
    <t>GRIFERIA LLAVE BOLA LAVADERO 1' ZAMAK</t>
  </si>
  <si>
    <t>FLEXIBLES</t>
  </si>
  <si>
    <t>AGUA</t>
  </si>
  <si>
    <t>FLEXIBLE AGUA HI-HI 1/2 25CM</t>
  </si>
  <si>
    <t>FLEXIBLE AGUA HI-HI 1/2 30CM</t>
  </si>
  <si>
    <t>FLEXIBLE AGUA HI-HI 1/2 35CM</t>
  </si>
  <si>
    <t>FLEXIBLE AGUA HI-HI 1/2 40CM</t>
  </si>
  <si>
    <t>FLEXIBLE AGUA HI-HI 1/2 50CM</t>
  </si>
  <si>
    <t>FLEXIBLE AGUA HE-HI 1/2 25CM</t>
  </si>
  <si>
    <t>FLEXIBLE AGUA HE-HI 1/2 30CM</t>
  </si>
  <si>
    <t>FLEXIBLE AGUA HE-HI 1/2 35CM</t>
  </si>
  <si>
    <t>FLEXIBLE AGUA HE-HI 1/2 40CM</t>
  </si>
  <si>
    <t>FLEXIBLE AGUA HE-HI 1/2 50CM</t>
  </si>
  <si>
    <t>CALEFONT</t>
  </si>
  <si>
    <t>FLEXIBLE CALEFONT HI-HI 1/2 25CM</t>
  </si>
  <si>
    <t>FLEXIBLE CALEFONT HI-HI 1/2 35CM</t>
  </si>
  <si>
    <t>FLEXIBLE CALEFONT HE-HI 1/2 25CM</t>
  </si>
  <si>
    <t>FLEXIBLE CALEFONT HE-HI 1/2 35CM</t>
  </si>
  <si>
    <t>GAS</t>
  </si>
  <si>
    <t>FLEXIBLE GAS IZQ 3/8 X 1/2 60CM</t>
  </si>
  <si>
    <t>FLEXIBLE GAS IZQ 3/8 X 1/2 100CM</t>
  </si>
  <si>
    <t>FLEXIBLE GAS HI-HI 1/2 100CM</t>
  </si>
  <si>
    <t>SOLUCIÓN CANALETAS PVC</t>
  </si>
  <si>
    <t>CANALETAS DE TECHO TB/CAN</t>
  </si>
  <si>
    <t>TUBO BAJADA CANALETA TECHO 3MT BLANCO N</t>
  </si>
  <si>
    <t>12604M</t>
  </si>
  <si>
    <t>TUBO BAJADA CANALETA TECHO 3MT MARRÓN N</t>
  </si>
  <si>
    <t>TUBO BAJADA CANALETA TECHO 5MT BLANCO N</t>
  </si>
  <si>
    <t>12605M</t>
  </si>
  <si>
    <t>TUBO BAJADA CANALETA TECHO 5MT MARRÓN N</t>
  </si>
  <si>
    <t>CAN</t>
  </si>
  <si>
    <t>CANALETA TECHO PVC 4MT BLANCO I</t>
  </si>
  <si>
    <t>346001M</t>
  </si>
  <si>
    <t>CANALETA TECHO PVC 4MT MARRON I</t>
  </si>
  <si>
    <t>CANALETAS DE TECHO FT/ ACC</t>
  </si>
  <si>
    <t>ACC</t>
  </si>
  <si>
    <t>ACCESORIO BAJADA CANALETA TECHO BLANCO I</t>
  </si>
  <si>
    <t>346002M</t>
  </si>
  <si>
    <t>ACCESORIO BAJADA CANALETA TECHO MARRÓN I</t>
  </si>
  <si>
    <t>ACCESORIO UNION CANALETA TECHO BLANCO I</t>
  </si>
  <si>
    <t>346003M</t>
  </si>
  <si>
    <t>ACCESORIO UNION CANALETA TECHO MARRÓN I</t>
  </si>
  <si>
    <t>ESQUINERO EXTERIOR CANALETA TECHO BLANCO</t>
  </si>
  <si>
    <t>346004M</t>
  </si>
  <si>
    <t>ESQUINERO EXTERIOR CANALETA TECHO MARRÓN</t>
  </si>
  <si>
    <t>ESQUINERO INTERIOR CANALETA TECHO BLANCO</t>
  </si>
  <si>
    <t>346014M</t>
  </si>
  <si>
    <t>TAPA UNIVERSAL ACCESORIO CANALETA BLANCO</t>
  </si>
  <si>
    <t>346021M</t>
  </si>
  <si>
    <t>TAPA UNIVERSAL ACCESORIO CANALETA MARRON</t>
  </si>
  <si>
    <t>TAPA ACCESORIO CANALETA DERECHA BLANCO I</t>
  </si>
  <si>
    <t>346005M</t>
  </si>
  <si>
    <t>TAPA ACCESORIO CANALETA DERECHA MARRÓN I</t>
  </si>
  <si>
    <t>TAPA ACCESORIO CANALETA IZQUIERDA BLANCO</t>
  </si>
  <si>
    <t>346006M</t>
  </si>
  <si>
    <t>TAPA ACCESORIO CANALETA IZQUIERDA MARRÓN</t>
  </si>
  <si>
    <t>TAPA UNIVERSAL CANALETA TECHO BLANCO I</t>
  </si>
  <si>
    <t>346015M</t>
  </si>
  <si>
    <t>TAPA UNIVERSAL CANALETA TECHO MARRÓN I</t>
  </si>
  <si>
    <t>GANCHO TRADICIONAL CANALETA TECHO BLANCO</t>
  </si>
  <si>
    <t>346007M</t>
  </si>
  <si>
    <t>GANCHO TRADICIONAL CANALETA TECHO MARRÓN</t>
  </si>
  <si>
    <t>GANCHO INVISIBLE CANALETA TECHO BLANCO I</t>
  </si>
  <si>
    <t>346012M</t>
  </si>
  <si>
    <t>GANCHO INVISIBLE CANALETA TECHO MARRÓN I</t>
  </si>
  <si>
    <t>CODO 45° H-H ACC CANALETA TECHO BLANCO I</t>
  </si>
  <si>
    <t>346008M</t>
  </si>
  <si>
    <t>CODO 45° H-H ACC CANALETA TECHO MARRÓN I</t>
  </si>
  <si>
    <t>CODO 90° H-H ACC CANALETA TECHO BLANCO I</t>
  </si>
  <si>
    <t>346009M</t>
  </si>
  <si>
    <t>CODO 90° H-H ACC CANALETA TECHO MARRÓN I</t>
  </si>
  <si>
    <t>CANAL TECHO ACC CODO 90° M-H BLANCO N</t>
  </si>
  <si>
    <t>46019M</t>
  </si>
  <si>
    <t>CANAL TECHO ACC CODO 90° M-H MARRON N</t>
  </si>
  <si>
    <t>COPLA BAJADA ACC CANALETA TECHO BLANCO I</t>
  </si>
  <si>
    <t>346010M</t>
  </si>
  <si>
    <t>COPLA BAJADA ACC CANALETA TECHO MARRÓN I</t>
  </si>
  <si>
    <t>ABRAZADERA TUBO BAJADA CAN. TECHO BLANCO</t>
  </si>
  <si>
    <t>346011M</t>
  </si>
  <si>
    <t>ABRAZADERA TUBO BAJADA CAN. TECHO MARRÓN</t>
  </si>
  <si>
    <t>CODO BAJADA ACC CANALETA TECHO BLANCO</t>
  </si>
  <si>
    <t>346013M</t>
  </si>
  <si>
    <t>CODO BAJADA ACC CANALETA TECHO MARRÓN</t>
  </si>
  <si>
    <t>BAJADA CONICA ACC CANALETA TECHO BLANCO</t>
  </si>
  <si>
    <t>ESQUINERO UNIVERSAL ACC CAN TECHO BLANCO</t>
  </si>
  <si>
    <t>346020M</t>
  </si>
  <si>
    <t>ESQUINERO UNIVERSAL ACC CAN TECHO MARRON</t>
  </si>
  <si>
    <t>DROPPER GUIA GOTAS CANALETA TECHO BLANCO</t>
  </si>
  <si>
    <t>346022M</t>
  </si>
  <si>
    <t>DROPPER GUIA GOTAS CANALETA TECHO MARRON</t>
  </si>
  <si>
    <t>GANCHO METALICO ACC. CANAL TECHO PLATEAD</t>
  </si>
  <si>
    <t>RIEGO Y DISTRIBUCIÓN HIDRÁULICA</t>
  </si>
  <si>
    <t>TUBO PLANSA</t>
  </si>
  <si>
    <t>TUBO PEBD PLANSA VIRG LISA 1/2' 1.0X50M</t>
  </si>
  <si>
    <t>TUBO PEBD PLANSA VIRG LISA 1/2' 1.0X100M</t>
  </si>
  <si>
    <t>TUBO PEBD PLANSA RECI LISA 3/4' 1.0X100M</t>
  </si>
  <si>
    <t>TUBO PEBD PLANSA RECI LISA 1' 1.0X100M</t>
  </si>
  <si>
    <t>FITTINGS PLANSA</t>
  </si>
  <si>
    <t>PP VENTOSA DOBLE EFECTO 1 GTR PN 8</t>
  </si>
  <si>
    <t>PP VENTOSA DOBLE EFECTO 2 GTR PN 16</t>
  </si>
  <si>
    <t>PP FT PLANSA CONECTOR INICIAL 16 BILABIA</t>
  </si>
  <si>
    <t>PP FT PLANSA GOMA CONECTOR INICIAL 16</t>
  </si>
  <si>
    <t>PP FT PLANSA COPLA 16</t>
  </si>
  <si>
    <t>PP FT PLANSA TEE 16</t>
  </si>
  <si>
    <t>PP FT PLANSA CODO  16</t>
  </si>
  <si>
    <t>PP FT PLANSA TAPON GOTERO 4</t>
  </si>
  <si>
    <t>PP FT PLANSA ANILLO FINAL 16 (TERMINAL)</t>
  </si>
  <si>
    <t>PP FT PLANSA GOTERO REGUL 0-60LTS CHERRY</t>
  </si>
  <si>
    <t>PP PLANSA LL/V VALVULA RAMAL NARANJA</t>
  </si>
  <si>
    <t>PP FT PLANSA ASPERSOR 1/2'</t>
  </si>
  <si>
    <t>HERR</t>
  </si>
  <si>
    <t>PP HERR PLANSA SACABOCADOS 3 MM P.CAR</t>
  </si>
  <si>
    <t>FITTINGS COMPRESION</t>
  </si>
  <si>
    <t>PP COMPRES FT COPLA 20</t>
  </si>
  <si>
    <t>PP COMPRES FT COPLA 25</t>
  </si>
  <si>
    <t>PP COMPRES FT COPLA 32</t>
  </si>
  <si>
    <t>PP COMPRES FT COPLA 40</t>
  </si>
  <si>
    <t>PP COMPRES FT COPLA 50</t>
  </si>
  <si>
    <t>PP COMPRES FT COPLA 63</t>
  </si>
  <si>
    <t>PP COMPRES FT COPLA RED 25X20</t>
  </si>
  <si>
    <t>PP COMPRES FT COPLA RED 32X20</t>
  </si>
  <si>
    <t>PP COMPRES FT COPLA RED 32X25</t>
  </si>
  <si>
    <t>PP COMPRES FT COPLA RED 40X25</t>
  </si>
  <si>
    <t>PP COMPRES FT COPLA RED 40X32</t>
  </si>
  <si>
    <t>PP COMPRES FT COPLA RED 50X20</t>
  </si>
  <si>
    <t>PP COMPRES FT COPLA RED 50X25</t>
  </si>
  <si>
    <t>PP COMPRES FT COPLA RED 50X32</t>
  </si>
  <si>
    <t>PP COMPRES FT COPLA RED 50X40</t>
  </si>
  <si>
    <t>PP COMPRES FT COPLA RED 63X25</t>
  </si>
  <si>
    <t>PP COMPRES FT COPLA RED 63X32</t>
  </si>
  <si>
    <t>PP COMPRES FT COPLA RED 63X40</t>
  </si>
  <si>
    <t>PP COMPRES FT COPLA RED 63X50</t>
  </si>
  <si>
    <t>PP COMPRES FT TERMINAL C/REF HI 20X1/2</t>
  </si>
  <si>
    <t>PP COMPRES FT TERMINAL C/REF HI 20X3/4</t>
  </si>
  <si>
    <t>PP COMPRES FT TERMINAL C/REF HI 20X1</t>
  </si>
  <si>
    <t>PP COMPRES FT TERMINAL C/REF HI 25X1/2</t>
  </si>
  <si>
    <t>PP COMPRES FT TERMINAL C/REF HI 25X3/4</t>
  </si>
  <si>
    <t>PP COMPRES FT TERMINAL C/REF HI 25X1</t>
  </si>
  <si>
    <t>PP COMPRES FT TERMINAL C/REF HI 32X1/2</t>
  </si>
  <si>
    <t>PP COMPRES FT TERMINAL C/REF HI 32X3/4</t>
  </si>
  <si>
    <t>PP COMPRES FT TERMINAL C/REF HI 32X1</t>
  </si>
  <si>
    <t>PP COMPRES FT TERMINAL C/REF HI 32X1 1/4</t>
  </si>
  <si>
    <t>PP COMPRES FT TERMINAL C/REF HI 40X1</t>
  </si>
  <si>
    <t>PP COMPRES FT TERMINAL C/REF HI 40X1 1/4</t>
  </si>
  <si>
    <t>PP COMPRES FT TERMINAL C/REF HI 40X1 1/2</t>
  </si>
  <si>
    <t>PP COMPRES FT TERMINAL C/REF HI 50X1 1/4</t>
  </si>
  <si>
    <t>PP COMPRES FT TERMINAL C/REF HI 50X1 1/2</t>
  </si>
  <si>
    <t>PP COMPRES FT TERMINAL C/REF HI 50X2</t>
  </si>
  <si>
    <t>PP COMPRES FT TERMINAL C/REF HI 63X1 1/4</t>
  </si>
  <si>
    <t>PP COMPRES FT TERMINAL C/REF HI 63X1 1/2</t>
  </si>
  <si>
    <t>PP COMPRES FT TERMINAL C/REF HI 63X2</t>
  </si>
  <si>
    <t>PP COMPRES FT TERMINAL HE 20X1/2</t>
  </si>
  <si>
    <t>PP COMPRES FT TERMINAL HE 20X3/4</t>
  </si>
  <si>
    <t>PP COMPRES FT TERMINAL HE 20X1</t>
  </si>
  <si>
    <t>PP COMPRES FT TERMINAL HE 25X1/2</t>
  </si>
  <si>
    <t>PP COMPRES FT TERMINAL HE 25X3/4</t>
  </si>
  <si>
    <t>PP COMPRES FT TERMINAL HE 25X1</t>
  </si>
  <si>
    <t>PP COMPRES FT TERMINAL HE 32X1/2</t>
  </si>
  <si>
    <t>PP COMPRES FT TERMINAL HE 32X3/4</t>
  </si>
  <si>
    <t>PP COMPRES FT TERMINAL HE 32X1</t>
  </si>
  <si>
    <t>PP COMPRES FT TERMINAL HE 32X1 1/4</t>
  </si>
  <si>
    <t>PP COMPRES FT TERMINAL HE 40X1</t>
  </si>
  <si>
    <t>PP COMPRES FT TERMINAL HE 40X1 1/4</t>
  </si>
  <si>
    <t>PP COMPRES FT TERMINAL HE 40X1 1/2</t>
  </si>
  <si>
    <t>PP COMPRES FT TERMINAL HE 50X1</t>
  </si>
  <si>
    <t>PP COMPRES FT TERMINAL HE 50X1 1/4</t>
  </si>
  <si>
    <t>PP COMPRES FT TERMINAL HE 50X1 1/2</t>
  </si>
  <si>
    <t>PP COMPRES FT TERMINAL HE 50X2</t>
  </si>
  <si>
    <t>PP COMPRES FT TERMINAL HE 63X1 1/4</t>
  </si>
  <si>
    <t>PP COMPRES FT TERMINAL HE 63X1 1/2</t>
  </si>
  <si>
    <t>PP COMPRES FT TERMINAL HE 63X2</t>
  </si>
  <si>
    <t>PP COMPRES FT TERMINAL HE 63X2 1/2</t>
  </si>
  <si>
    <t>PP COMPRES FT TAPON 20</t>
  </si>
  <si>
    <t>PP COMPRES FT TAPON 25</t>
  </si>
  <si>
    <t>PP COMPRES FT TAPON 32</t>
  </si>
  <si>
    <t>PP COMPRES FT TAPON 40</t>
  </si>
  <si>
    <t>PP COMPRES FT TAPON 50</t>
  </si>
  <si>
    <t>PP COMPRES FT TAPON 63</t>
  </si>
  <si>
    <t>PP COMPRES FT TEE 20</t>
  </si>
  <si>
    <t>PP COMPRES FT TEE 25</t>
  </si>
  <si>
    <t>PP COMPRES FT TEE 32</t>
  </si>
  <si>
    <t>PP COMPRES FT TEE 40</t>
  </si>
  <si>
    <t>PP COMPRES FT TEE 50</t>
  </si>
  <si>
    <t>PP COMPRES FT TEE 63</t>
  </si>
  <si>
    <t>PP COMPRES FT TEE REDUCCION 25X20X25</t>
  </si>
  <si>
    <t>PP COMPRES FT TEE REDUCCION 32X20X32</t>
  </si>
  <si>
    <t>PP COMPRES FT TEE REDUCCION 32X25X32</t>
  </si>
  <si>
    <t>PP COMPRES FT TEE REDUCCION 40X20X40</t>
  </si>
  <si>
    <t>PP COMPRES FT TEE REDUCCION 40X32X40</t>
  </si>
  <si>
    <t>PP COMPRES FT TEE REDUCCION 50X25X50</t>
  </si>
  <si>
    <t>PP COMPRES FT TEE REDUCCION 50X32X50</t>
  </si>
  <si>
    <t>PP COMPRES FT TEE REDUCCION 50X40X50</t>
  </si>
  <si>
    <t>PP COMPRES FT TEE REDUCCION 63X25X63</t>
  </si>
  <si>
    <t>PP COMPRES FT TEE REDUCCION 63X32X63</t>
  </si>
  <si>
    <t>PP COMPRES FT TEE REDUCCION 63X40X63</t>
  </si>
  <si>
    <t>PP COMPRES FT TEE REDUCCION 63X50X63</t>
  </si>
  <si>
    <t>PP COMPRES FT TEE C/REFUERZO HI 20X1/2</t>
  </si>
  <si>
    <t>PP COMPRES FT TEE C/REFUERZO HI 20X3/4</t>
  </si>
  <si>
    <t>PP COMPRES FT TEE C/REFUERZO HI 20X1</t>
  </si>
  <si>
    <t>PP COMPRES FT TEE C/REFUERZO HI 25X1/2</t>
  </si>
  <si>
    <t>PP COMPRES FT TEE C/REFUERZO HI 25X3/4</t>
  </si>
  <si>
    <t>PP COMPRES FT TEE C/REFUERZO HI 25X1</t>
  </si>
  <si>
    <t>PP COMPRES FT TEE C/REFUERZO HI 32X1/2</t>
  </si>
  <si>
    <t>PP COMPRES FT TEE C/REFUERZO HI 32X3/4</t>
  </si>
  <si>
    <t>PP COMPRES FT TEE C/REFUERZO HI 32X1</t>
  </si>
  <si>
    <t>PP COMPRES FT TEE C/REFUERZO HI 40X1</t>
  </si>
  <si>
    <t>PP COMPRES FT TEE C/REFUERZO HI 40X1 1/4</t>
  </si>
  <si>
    <t>PP COMPRES FT TEE C/REFUERZO HI 50X1 1/4</t>
  </si>
  <si>
    <t>PP COMPRES FT TEE C/REFUERZO HI 50X1 1/2</t>
  </si>
  <si>
    <t>PP COMPRES FT TEE C/REFUERZO HI 63X1 1/2</t>
  </si>
  <si>
    <t>PP COMPRES FT TEE C/REFUERZO HI 63X2</t>
  </si>
  <si>
    <t>PP COMPRES FT TEE C/REFUERZO HE 20X1/2</t>
  </si>
  <si>
    <t>PP COMPRES FT TEE C/REFUERZO HE 20X3/4</t>
  </si>
  <si>
    <t>PP COMPRES FT TEE C/REFUERZO HE 20X1</t>
  </si>
  <si>
    <t>PP COMPRES FT TEE C/REFUERZO HE 25X1/2</t>
  </si>
  <si>
    <t>PP COMPRES FT TEE C/REFUERZO HE 25X3/4</t>
  </si>
  <si>
    <t>PP COMPRES FT TEE C/REFUERZO HE 25X1</t>
  </si>
  <si>
    <t>PP COMPRES FT TEE C/REFUERZO HE 32X1/2</t>
  </si>
  <si>
    <t>PP COMPRES FT TEE C/REFUERZO HE 32X3/4</t>
  </si>
  <si>
    <t>PP COMPRES FT TEE C/REFUERZO HE 32X1</t>
  </si>
  <si>
    <t>PP COMPRES FT TEE C/REFUERZO HE 32X1 1/4</t>
  </si>
  <si>
    <t>PP COMPRES FT TEE C/REFUERZO HE 40X1</t>
  </si>
  <si>
    <t>PP COMPRES FT TEE C/REFUERZO HE 40X1 1/4</t>
  </si>
  <si>
    <t>PP COMPRES FT TEE C/REFUERZO HE 40X1 1/2</t>
  </si>
  <si>
    <t>PP COMPRES FT TEE C/REFUERZO HE 50</t>
  </si>
  <si>
    <t>PP COMPRES FT TEE C/REFUERZO HE 50X1 1/4</t>
  </si>
  <si>
    <t>PP COMPRES FT TEE C/REFUERZO HE 50X1 1/2</t>
  </si>
  <si>
    <t>PP COMPRES FT TEE C/REFUERZO HE 50X2</t>
  </si>
  <si>
    <t>PP COMPRES FT TEE C/REFUERZO HE 63X1 1/4</t>
  </si>
  <si>
    <t>PP COMPRES FT TEE C/REFUERZO HE 63X1 1/2</t>
  </si>
  <si>
    <t>PP COMPRES FT TEE C/REFUERZO HE 63X2</t>
  </si>
  <si>
    <t>PP COMPRES FT CODO 90° 20</t>
  </si>
  <si>
    <t>PP COMPRES FT CODO 90° 25</t>
  </si>
  <si>
    <t>PP COMPRES FT CODO 90° 32</t>
  </si>
  <si>
    <t>PP COMPRES FT CODO 90° 40</t>
  </si>
  <si>
    <t>PP COMPRES FT CODO 90° 50</t>
  </si>
  <si>
    <t>PP COMPRES FT CODO 90° 63</t>
  </si>
  <si>
    <t>PP COMPRES FT CODO C/REFUERZO HI 20X1/2</t>
  </si>
  <si>
    <t>PP COMPRES FT CODO C/REFUERZO HI 20X3/4</t>
  </si>
  <si>
    <t>PP COMPRES FT CODO C/REFUERZO HI 20X1</t>
  </si>
  <si>
    <t>PP COMPRES FT CODO C/REFUERZO HI 25X1/2</t>
  </si>
  <si>
    <t>PP COMPRES FT CODO C/REFUERZO HI 25X3/4</t>
  </si>
  <si>
    <t>PP COMPRES FT CODO C/REFUERZO HI 25X1</t>
  </si>
  <si>
    <t>PP COMPRES FT CODO C/REFUERZO HI 32X1/2</t>
  </si>
  <si>
    <t>PP COMPRES FT CODO C/REFUERZO HI 32X3/4</t>
  </si>
  <si>
    <t>PP COMPRES FT CODO C/REFUERZO HI 32X1</t>
  </si>
  <si>
    <t>PP COMPRES FT CODO C/REFUERZO HI 40X3/4</t>
  </si>
  <si>
    <t>PP COMPRES FT CODO C/REFUERZO HI 40X1</t>
  </si>
  <si>
    <t>PP COMPRES FT CODO C/REFUERZ HI 40X1 1/4</t>
  </si>
  <si>
    <t>PP COMPRES FT CODO C/REFUERZ HI 50X1 1/4</t>
  </si>
  <si>
    <t>PP COMPRES FT CODO C/REFUERZ HI 50X1 1/2</t>
  </si>
  <si>
    <t>PP COMPRES FT CODO C/REFUERZ HI 63X1 1/2</t>
  </si>
  <si>
    <t>PP COMPRES FT CODO C/REFUERZ HI 63X2</t>
  </si>
  <si>
    <t>PP COMPRES FT CODO C/REFUERZ HI 63X2 1/2</t>
  </si>
  <si>
    <t>PP COMPRES FT CODO HE 20X1/2</t>
  </si>
  <si>
    <t>PP COMPRES FT CODO HE 20X3/4</t>
  </si>
  <si>
    <t>PP COMPRES FT CODO HE 20X1</t>
  </si>
  <si>
    <t>PP COMPRES FT CODO HE 25 X 1/2</t>
  </si>
  <si>
    <t>PP COMPRES FT CODO HE 25X3/4</t>
  </si>
  <si>
    <t>PP COMPRES FT CODO HE 25X1</t>
  </si>
  <si>
    <t>PP COMPRES FT CODO HE 32X1/2</t>
  </si>
  <si>
    <t>PP COMPRES FT CODO HE 32X3/4</t>
  </si>
  <si>
    <t>PP COMPRES FT CODO HE 32X1</t>
  </si>
  <si>
    <t>PP COMPRES FT CODO HE 32X1 1/4</t>
  </si>
  <si>
    <t>PP COMPRES FT CODO HE 40X1</t>
  </si>
  <si>
    <t>PP COMPRES FT CODO HE 40X1 1/4</t>
  </si>
  <si>
    <t>PP COMPRES FT CODO HE 40X1 1/2</t>
  </si>
  <si>
    <t>PP COMPRES FT CODO HE 50X1 1/4</t>
  </si>
  <si>
    <t>PP COMPRES FT CODO HE 50X1 1/2</t>
  </si>
  <si>
    <t>PP COMPRES FT CODO HE 50X2</t>
  </si>
  <si>
    <t>PP COMPRES FT CODO HE 63X1 1/4</t>
  </si>
  <si>
    <t>PP COMPRES FT CODO HE 63X1 1/2</t>
  </si>
  <si>
    <t>PP COMPRES FT CODO HE 63X2</t>
  </si>
  <si>
    <t>PP COMPRES FT CODO HE 63X2 1/2</t>
  </si>
  <si>
    <t>PP COMPRES FT COPLA HI 20X1/2</t>
  </si>
  <si>
    <t>PP COMPRES FT COPLA HI 25X3/4</t>
  </si>
  <si>
    <t>PP COMPRES FT COPLA HI 32X3/4</t>
  </si>
  <si>
    <t>PP COMPRES FT COPLA HI 32X1</t>
  </si>
  <si>
    <t>PP COMPRES FT COPLA HI 40X1 1/4</t>
  </si>
  <si>
    <t>PP COMPRES FT COPLA HI 50X1 1/2</t>
  </si>
  <si>
    <t>PP COMPRES FT COPLA HI 63X2</t>
  </si>
  <si>
    <t>COLLARINES, FLANGES Y ACCES.</t>
  </si>
  <si>
    <t>PP COMPRES FT FLANGE DISCO MET 40X1 1/2</t>
  </si>
  <si>
    <t>PP COMPRES FT FLANGE DISCO MET 50X1 1/2</t>
  </si>
  <si>
    <t>PP COMPRES FT FLANGE DISCO MET 50X2</t>
  </si>
  <si>
    <t>PP COMPRES FT FLANGE DISCO MET 63X2</t>
  </si>
  <si>
    <t>PP COMPRES FT FLANGE DISCO MET 63X2 1/2</t>
  </si>
  <si>
    <t>PVC PRE FT FLANGE Y COLLAR FLANGE 63</t>
  </si>
  <si>
    <t>PVC PRE FT FLANGE Y COLLAR FLANGE 75</t>
  </si>
  <si>
    <t>PVC PRE FT FLANGE Y COLLAR FLANGE 90</t>
  </si>
  <si>
    <t>PVC PRE FT FLANGE Y COLLAR FLANGE 110</t>
  </si>
  <si>
    <t>PP COMP FT COLLARIN VISAGRA PERF 110X25</t>
  </si>
  <si>
    <t>PP COMP FT COLLARIN VISAGRA PERF 110X32</t>
  </si>
  <si>
    <t>PP COMPR FT COLLARIN 110X25 PN16</t>
  </si>
  <si>
    <t>PP COMPR FT COLLARIN 110X32 PN16</t>
  </si>
  <si>
    <t>PP COMPR FT COLLARIN 160X25 PN16</t>
  </si>
  <si>
    <t>PP COMPR FT COLLARIN 160X32 PN16</t>
  </si>
  <si>
    <t>MANGUERAS Y ACCESORIOS</t>
  </si>
  <si>
    <t>MANGUERAS Y ACC. PISCINA</t>
  </si>
  <si>
    <t>ROLLO 10 MT</t>
  </si>
  <si>
    <t>MANGUERA PISCINA SWIMBOY 38mm 10 MT</t>
  </si>
  <si>
    <t>ROLLO 15 MT</t>
  </si>
  <si>
    <t>MANGUERA PISCINA SWIMBOY 38mm 15 MT</t>
  </si>
  <si>
    <t>ROLLO 20 MT</t>
  </si>
  <si>
    <t>MANGUERA PISCINA SWIMBOY 38mm 20 MT</t>
  </si>
  <si>
    <t>ROLLO 25 MT</t>
  </si>
  <si>
    <t>MANGUERA PISCINA SWIMBOY 38mm 25 MT</t>
  </si>
  <si>
    <t>SET</t>
  </si>
  <si>
    <t>CONECTOR MANGUERA PISCINA</t>
  </si>
  <si>
    <t>MANGUERAS Y ACC. RIEGO JARDÍN</t>
  </si>
  <si>
    <t>ROLLO 100 MT</t>
  </si>
  <si>
    <t>MANGUERA 1/2" ESTRIADA BICOLOR 100 MT</t>
  </si>
  <si>
    <t>MANGUERA 1/2" ESTRIADA CRISTAL 100 MT</t>
  </si>
  <si>
    <t>MANGUERA 1/2" ESTRIADA BICOLOR 10 MTS</t>
  </si>
  <si>
    <t>MANGUERA 1/2" ESTRIADA BICOLOR 15 MTS</t>
  </si>
  <si>
    <t>MANGUERA 1/2" ESTRIADA BICOLOR 20 MTS</t>
  </si>
  <si>
    <t>SET MANGUERA 1/2" ESTRIADA BICOLOR 10 MT</t>
  </si>
  <si>
    <t>SET MANGUERA 1/2" ESTRIADA BICOLOR 15 MT</t>
  </si>
  <si>
    <t>SET MANGUERA 1/2" ESTRIADA BICOLOR 20 MT</t>
  </si>
  <si>
    <t>MANGUERA EXTRA DUOCOLOR 1/2" 100 MT</t>
  </si>
  <si>
    <t>MANGUERA EXTRA CRISTAL 1/2" 100 MT (V/C)</t>
  </si>
  <si>
    <t>MANGUERA EXTRA CRISTAL 3/4" 100 MT (V/C)</t>
  </si>
  <si>
    <t>ROLLO 101 MT</t>
  </si>
  <si>
    <t>MANGUERA EXTRA CRISTAL 1" 100 MT (V/C)</t>
  </si>
  <si>
    <t>ROLLO 102 MT</t>
  </si>
  <si>
    <t>MANGUERA EXTRA VERDE 1/2" 100 MT (V)</t>
  </si>
  <si>
    <t>ROLLO 103 MT</t>
  </si>
  <si>
    <t>MANGUERA EXTRA VERDE 3/4" 100 MT (V)</t>
  </si>
  <si>
    <t>ROLLO 104 MT</t>
  </si>
  <si>
    <t>MANGUERA EXTRA VERDE 1" 100 MT (V)</t>
  </si>
  <si>
    <t>ROLLO 105 MT</t>
  </si>
  <si>
    <t>MANGUERA EXTRA BICOLOR 3/4" 100 MT (V/B)</t>
  </si>
  <si>
    <t>ROLLO 106 MT</t>
  </si>
  <si>
    <t>MANGUERA EXTRA BICOLOR 1" 100 MT (V/B)</t>
  </si>
  <si>
    <t>MANGUERA CRISTAL 1/2" 10 MT (C)</t>
  </si>
  <si>
    <t>MANGUERA CRISTAL 1/2" 15 MT (C)</t>
  </si>
  <si>
    <t>MANGUERA CRISTAL 1/2" 20 MT (C)</t>
  </si>
  <si>
    <t>SET MANGUERA CRISTAL 1/2" 10 MT (C)</t>
  </si>
  <si>
    <t>SET MANGUERA CRISTAL 1/2" 15 MT (C)</t>
  </si>
  <si>
    <t>SET MANGUERA CRISTAL 1/2" 20 MT (C)</t>
  </si>
  <si>
    <t>MANGUERA DOUCOLOR 1/2" 10 MT</t>
  </si>
  <si>
    <t>MANGUERA DOUCOLOR 1/2" 15 MT</t>
  </si>
  <si>
    <t>MANGUERA DOUCOLOR 1/2" 20 MT</t>
  </si>
  <si>
    <t>SET MANGUERA DOUCOLOR 1/2" 10 MT</t>
  </si>
  <si>
    <t>SET MANGUERA DOUCOLOR 1/2" 15 MT</t>
  </si>
  <si>
    <t>SET MANGUERA DOUCOLOR 1/2" 20 MT</t>
  </si>
  <si>
    <t>ROLLO 50 MT</t>
  </si>
  <si>
    <t>MANGUERA MUNICIPAL 1" VERDE 50 MT</t>
  </si>
  <si>
    <t>MANGUERA MUNICIPAL 1 1/4" VERDE 50 MT</t>
  </si>
  <si>
    <t>MANGUERA MUNICIPAL 1 1/2" VERDE 50 MT</t>
  </si>
  <si>
    <t>MANGUERA MUNICIPAL 2" VERDE 50 MT</t>
  </si>
  <si>
    <t>MANGUERA MALLAFLEX JARD 1/2" VERD 100 MT</t>
  </si>
  <si>
    <t>MANGUERA MALLAFLEX JARD 3/4" VERD 100 MT</t>
  </si>
  <si>
    <t>MANGUERA MALLAFLEX JARDIN 1" VERDE 50 MT</t>
  </si>
  <si>
    <t>SET MANGUERA MALLAFLEX JARDIN 1/2" 10 MT</t>
  </si>
  <si>
    <t>SET MANGUERA MALLAFLEX JARDIN 1/2" 15 MT</t>
  </si>
  <si>
    <t>SET MANGUERA MALLAFLEX JARDIN 1/2" 20 MT</t>
  </si>
  <si>
    <t>MANGUERA MALLAFLEX A/TORS VERD 1/2 100MT</t>
  </si>
  <si>
    <t>MANGUERA MALLAFLEX A/TORS VERD 3/4 100MT</t>
  </si>
  <si>
    <t>MANGUERA MALLAFLEX A/TORS VERDE 1" 50 MT</t>
  </si>
  <si>
    <t>SET MANGUERA MALLAFLEX A/TORS 1/2" 10 MT</t>
  </si>
  <si>
    <t>SET MANGUERA MALLAFLEX A/TORS 1/2" 15 MT</t>
  </si>
  <si>
    <t>SET MANGUERA MALLAFLEX A/TORS 1/2" 20 MT</t>
  </si>
  <si>
    <t>ROLLO 1 / 2</t>
  </si>
  <si>
    <t>SET CONECTOR RAPIDO 1/2" C/ PITON AJUST.</t>
  </si>
  <si>
    <t>ROLLO 5 / 8</t>
  </si>
  <si>
    <t>SET CONECTOR RAPIDO 5/8" C/ PITON AJUST.</t>
  </si>
  <si>
    <t>PORTAMANGUERA</t>
  </si>
  <si>
    <t>MANGUERAS INDUSTRIALES</t>
  </si>
  <si>
    <t>MANGUERA LIQUIFLEX 3/4' ROLLO 25MT</t>
  </si>
  <si>
    <t>MANGUERA LIQUIFLEX 1' ROLLO 50MT</t>
  </si>
  <si>
    <t>MANGUERA LIQUIFLEX 1 1/4' ROLLO 50MT</t>
  </si>
  <si>
    <t>MANGUERA LIQUIFLEX 1 1/2' ROLLO 50MT</t>
  </si>
  <si>
    <t>MANGUERA LIQUIFLEX 2' ROLLO 50MT</t>
  </si>
  <si>
    <t>MANGUERA LIQUIFLEX 2 1/2' ROLLO 25MT</t>
  </si>
  <si>
    <t>MANGUERA LIQUIFLEX 3' ROLLO 25MT</t>
  </si>
  <si>
    <t>MANGUERA LIQUIFLEX 4' ROLLO 25MT</t>
  </si>
  <si>
    <t>MANGUERA LIQUIFLEX 6' ROLLO 25MT</t>
  </si>
  <si>
    <t>MANGUERA LIQUIFLEX 8' TIRA 10MT</t>
  </si>
  <si>
    <t>MANGUERA LIQUIFLEX 10' TIRA 10MT</t>
  </si>
  <si>
    <t>MANGUERA AQUAFLEX 1' ROLLO 50MT</t>
  </si>
  <si>
    <t>MANGUERA AQUAFLEX 1 1/4' ROLLO 50MT</t>
  </si>
  <si>
    <t>MANGUERA AQUAFLEX 2' ROLLO 50MT</t>
  </si>
  <si>
    <t>MANGUERA AQUAFLEX 3' ROLLO 25MT</t>
  </si>
  <si>
    <t>MANGUERA AQUAFLEX 4' ROLLO 25MT</t>
  </si>
  <si>
    <t>MANGUERA CRISTALFLEX ATÓXICA 1 1/2' 50MT</t>
  </si>
  <si>
    <t>MANGUERA CRISTALFLEX ATÓXICA 2' 50MT</t>
  </si>
  <si>
    <t>MANGUERA CRISTALFLEX ATÓXICA 3'  25MT</t>
  </si>
  <si>
    <t>MANGUERA CRISTALFLEX ATÓXICA 4'  25MT</t>
  </si>
  <si>
    <t>MANGUERA AGROFLEX 1'  50MT</t>
  </si>
  <si>
    <t>MANGUERA AGROFLEX 1 1/2'  50MT</t>
  </si>
  <si>
    <t>MANGUERA AGROFLEX 2'  50MT</t>
  </si>
  <si>
    <t>MANGUERA AGROFLEX 3'  25MT</t>
  </si>
  <si>
    <t>MANGUERA AGROFLEX 4'  25MT</t>
  </si>
  <si>
    <t>MANGUERA AGROFLEX 6'  25MT</t>
  </si>
  <si>
    <t>MANGUERA ENOFLEX 1 1/2'  50MT</t>
  </si>
  <si>
    <t>MANGUERA ENOFLEX 2'  50MT</t>
  </si>
  <si>
    <t>MANGUERA ENOFLEX 2 1/2'  25MT</t>
  </si>
  <si>
    <t>MANGUERA ENOFLEX 3'  25MT</t>
  </si>
  <si>
    <t>MANGUERA ENOFLEX 4'  25MT</t>
  </si>
  <si>
    <t>MANGUERA ENOFLEX 5'  25MT</t>
  </si>
  <si>
    <t>MANGUERA LACTOFLEX ATÓXICA 1 1/2'  50MT</t>
  </si>
  <si>
    <t>MANGUERA LACTOFLEX ATÓXICA 2'  50MT</t>
  </si>
  <si>
    <t>MANGUERA LACTOFLEX ATÓXICA 3'  25MT</t>
  </si>
  <si>
    <t>MANGUERA CRISTALFLEX ATÓXICA 1 1/2 50MT</t>
  </si>
  <si>
    <t>MANGUERA CRISTALFLEX ATÓXICA 2'  50MT</t>
  </si>
  <si>
    <t>MANGUERA AIRFLEX LIVIANA 3/4'  25MT</t>
  </si>
  <si>
    <t>MANGUERA AIRFLEX LIVIANA 1'  50MT</t>
  </si>
  <si>
    <t>MANGUERA AIRFLEX LIVIANA 1 1/4'  50MT</t>
  </si>
  <si>
    <t>MANGUERA AIRFLEX LIVIANA 1 1/2'  50MT</t>
  </si>
  <si>
    <t>MANGUERA AIRFLEX LIVIANA 2'  50MT</t>
  </si>
  <si>
    <t>MANGUERA AIRFLEX LIVIANA 2 1/2'  25MT</t>
  </si>
  <si>
    <t>MANGUERA AIRFLEX LIVIANA 3'  25MT</t>
  </si>
  <si>
    <t>MANGUERA AIRFLEX LIVIANA 4'  25MT</t>
  </si>
  <si>
    <t>MANGUERA AIRFLEX LIVIANA 5'  25MT</t>
  </si>
  <si>
    <t>MANGUERA AIRFLEX LIVIANA 6'  25MT</t>
  </si>
  <si>
    <t>MANGUERA AIRFLEX LIVIANA 8' TIRA 10MT</t>
  </si>
  <si>
    <t>MANGUERA AIRFLEX PESADA 2'  50MT</t>
  </si>
  <si>
    <t>MANGUERA AIRFLEX PESADA 2 1/2'  25MT</t>
  </si>
  <si>
    <t>MANGUERA AIRFLEX PESADA 3'  25MT</t>
  </si>
  <si>
    <t>MANGUERA AIRFLEX PESADA 4'  25MT</t>
  </si>
  <si>
    <t>MANGUERA AIRFLEX PESADA 5'  25MT</t>
  </si>
  <si>
    <t>MANGUERA AIRFLEX PESADA 6'  25MT</t>
  </si>
  <si>
    <t>MANGUERA AIRFLEX PESADA 8' TIRA 10MT</t>
  </si>
  <si>
    <t>MANGUERA MALLAFLEX PRE STD 1/4'  100MT</t>
  </si>
  <si>
    <t>MANGUERA MALLAFLEX PRE STD 5/16'  100MT</t>
  </si>
  <si>
    <t>MANGUERA MALLAFLEX PRE STD 3/8'  100MT</t>
  </si>
  <si>
    <t>MANGUERA MALLAFLEX PRE STD 1/2'  100MT</t>
  </si>
  <si>
    <t>MANGUERA MALLAFLEX PRE STD 5/8'  100MT</t>
  </si>
  <si>
    <t>MANGUERA MALLAFLEX PRE STD 3/4'  100MT</t>
  </si>
  <si>
    <t>MANGUERA MALLAFLEX PRE STD 1'  50MT</t>
  </si>
  <si>
    <t>MANGUERA MALLAFLEX PRE STD 1 1/4'  50MT</t>
  </si>
  <si>
    <t>MANGUERA MALLAFLEX PRE STD 1 1/2'  50MT</t>
  </si>
  <si>
    <t>MANGUERA MALLAFLEX PRE STD 2'  25MT</t>
  </si>
  <si>
    <t>MANGUERA MALLAFLEX PRE ATOX 1/4'  100MT</t>
  </si>
  <si>
    <t>MANGUERA MALLAFLEX PRE ATOX 5/16'  100MT</t>
  </si>
  <si>
    <t>MANGUERA MALLAFLEX PRE ATOX 3/8'  100MT</t>
  </si>
  <si>
    <t>MANGUERA MALLAFLEX PRE ATOX 1/2'  100MT</t>
  </si>
  <si>
    <t>MANGUERA MALLAFLEX PRE ATOX 5/8'  100MT</t>
  </si>
  <si>
    <t>MANGUERA MALLAFLEX PRE ATOX 3/4'  100MT</t>
  </si>
  <si>
    <t>MANGUERA MALLAFLEX PRE ATOX 1'  50MT</t>
  </si>
  <si>
    <t>MANGUERA MALLAFLEX PRE ATOX 1 1/4'  50MT</t>
  </si>
  <si>
    <t>MANGUERA MALLAFLEX PRE ATOX 1 1/2'  50MT</t>
  </si>
  <si>
    <t>MANGUERA MALLAFLEX PRE ATOX 2'  25MT</t>
  </si>
  <si>
    <t>MANGUERA MALLAFLEX PRE STD AZU 3/4 100MT</t>
  </si>
  <si>
    <t>MANGUERA MALLAFLEX PRE STD AZU 1'  50MT</t>
  </si>
  <si>
    <t>MANGUERA NIVEL LISA 1/2' ROLLO 100MT</t>
  </si>
  <si>
    <t>MANGUERA NIVEL ESTRIADA 1/2' 100MT</t>
  </si>
  <si>
    <t>MANGUERA NIVEL LISA 1/2' SET 10MT</t>
  </si>
  <si>
    <t>MANGUERA NIVEL LISA 1/2' SET 15MT</t>
  </si>
  <si>
    <t>MANGUERA NIVEL LISA 1/2' SET 20MT</t>
  </si>
  <si>
    <t>MANGUERA INDUSTRIAL TRANSP. 4MM  100MT</t>
  </si>
  <si>
    <t>MANGUERA INDUSTRIAL TRANSP. 5MM  100MT</t>
  </si>
  <si>
    <t>MANGUERA INDUSTRIAL TRANSP. 6MM  100MT</t>
  </si>
  <si>
    <t>MANGUERA INDUSTRIAL TRANSP. 7MM  100MT</t>
  </si>
  <si>
    <t>MANGUERA INDUSTRIAL TRANSP. 8MM  100MT</t>
  </si>
  <si>
    <t>MANGUERA INDUSTRIAL TRANSP. 9MM  100MT</t>
  </si>
  <si>
    <t>MANGUERA INDUSTRIAL TRANSP. 10MM  100MT</t>
  </si>
  <si>
    <t>MANGUERA INDUSTRIAL AMARILLA 3MM  100MT</t>
  </si>
  <si>
    <t>MANGUERA INDUSTRIAL AMARILLA 4MM  100MT</t>
  </si>
  <si>
    <t>MANGUERA INDUSTRIAL AMARILLA 5MM  100MT</t>
  </si>
  <si>
    <t>MANGUERA INDUSTRIAL AMARILLA 6MM  100MT</t>
  </si>
  <si>
    <t>MANGUERA INDUSTRIAL AMARILLA 7MM  100MT</t>
  </si>
  <si>
    <t>MANGUERA INDUSTRIAL AMARILLA 8MM  100MT</t>
  </si>
  <si>
    <t>MANGUERA INDUSTRIAL AMARILLA 9MM  100MT</t>
  </si>
  <si>
    <t>MANGUERA INDUSTRIAL AMARILLA 10MM  100MT</t>
  </si>
  <si>
    <t>MICROTUBO 3,5MM  100MT</t>
  </si>
  <si>
    <t>MICROTUBO 4MM  100MT</t>
  </si>
  <si>
    <t>MANGUERA BUZO UNICAPA AMARILLA 9MM 100MT</t>
  </si>
  <si>
    <t>MANGUERA BUZO MALLA NARANJA 9MM 100MT</t>
  </si>
  <si>
    <t>BOMBAS</t>
  </si>
  <si>
    <t>BOMBAS Y ACCESORIOS</t>
  </si>
  <si>
    <t>BOMBAS, CONTROLADORES Y KITS</t>
  </si>
  <si>
    <t>CENTRIFUFA</t>
  </si>
  <si>
    <t>BOMBA CENTRIFUGA 1HP 1' X 1' BTCM 158-CE</t>
  </si>
  <si>
    <t>BOMBA CENTRIFUGA 1HP  2' X 2' BTCM 75B2</t>
  </si>
  <si>
    <t>BOMBA CENTRIFUGA 1.5HP  BTCM 110</t>
  </si>
  <si>
    <t>PERIFERICA</t>
  </si>
  <si>
    <t>BOMBA PERIFERICA 1HP 1' X 1' BTPM 75</t>
  </si>
  <si>
    <t>BOMBA PERIFERICA 0.5HP BTPM 37-CE</t>
  </si>
  <si>
    <t>SUMERGIBLE</t>
  </si>
  <si>
    <t xml:space="preserve">BOMBA SUMERGIBLE 1HP CBLE30MT 4SSM 4/10 </t>
  </si>
  <si>
    <t>BOMBA SUMERGIBLE 0.75HP BSK-VP 750/G</t>
  </si>
  <si>
    <t>PRESURIZADA</t>
  </si>
  <si>
    <t>BOMBA PRESURIZADA  1' X 1' RSCE 12/9G</t>
  </si>
  <si>
    <t>BOMBA PRESURIZADA 1 1/4'  RSCE20/12Z</t>
  </si>
  <si>
    <t>BOMBA PRESURIZADA  1' X 1' RS12/9G</t>
  </si>
  <si>
    <t>BOMBA PRESURIZADA 1 1/4' RS20/12Z</t>
  </si>
  <si>
    <t>CONTROL PRES.</t>
  </si>
  <si>
    <t>CONTROLADO PRESIÓN CONTROLPUMP BESTOFLOW</t>
  </si>
  <si>
    <t>CONTROLADOR PRESIÓN PRESSPUMP BESTFLOW</t>
  </si>
  <si>
    <t>KIT HIDRO</t>
  </si>
  <si>
    <t>HIDRONEUMATICO KIT 24LT. BESTFLOW FSG-2</t>
  </si>
  <si>
    <t>PVC CONDUIT</t>
  </si>
  <si>
    <t>TUBO PVC CONDUIT</t>
  </si>
  <si>
    <t>PVC CONDUIT TUBO 3M 16 CLASE IV N</t>
  </si>
  <si>
    <t>PVC CONDUIT TUBO 3M 20 CLASE IV N</t>
  </si>
  <si>
    <t>PVC CONDUIT TUBO 3M 25 CLASE III N</t>
  </si>
  <si>
    <t>PVC CONDUIT TUBO 3M 32 CLASE III N</t>
  </si>
  <si>
    <t>PVC CONDUIT TUBO 3M 40 CLASE II N</t>
  </si>
  <si>
    <t>PVC CONDUIT TUBO 3M 50 CLASE II N</t>
  </si>
  <si>
    <t>PVC CONDUIT TUBO 6M 16 CLASE IV N</t>
  </si>
  <si>
    <t>PVC CONDUIT TUBO 6M 20 CLASE IV N</t>
  </si>
  <si>
    <t>PVC CONDUIT TUBO 6M 25 CLASE III N</t>
  </si>
  <si>
    <t>PVC CONDUIT TUBO 6M 32 CLASE III N</t>
  </si>
  <si>
    <t>PVC CONDUIT TUBO 6M 40 CLASE II N</t>
  </si>
  <si>
    <t>PVC CONDUIT TUBO 6M 50 CLASE II N</t>
  </si>
  <si>
    <t>TUBO PVC CONDUIT CORRUGADO</t>
  </si>
  <si>
    <t>PVC CONDUIT TUBO CURVABLE 16 4422 FUERTE</t>
  </si>
  <si>
    <t>PVC CONDUIT TUBO CURVABLE 20 4422 FUERTE</t>
  </si>
  <si>
    <t>PVC CONDUIT TUBO CURVABLE 25 4422 FUERTE</t>
  </si>
  <si>
    <t>FITTING CONDUIT</t>
  </si>
  <si>
    <t>PVC CONDUIT FT CURVA 90° 16 N</t>
  </si>
  <si>
    <t>bolsa</t>
  </si>
  <si>
    <t>PVC CONDUIT FT CURVA 90° 20 I</t>
  </si>
  <si>
    <t>PVC CONDUIT FT CURVA 90° 25 I</t>
  </si>
  <si>
    <t>PVC CONDUIT FT CURVA 90° 32 I</t>
  </si>
  <si>
    <t>PVC CONDUIT FT COPLA 16 I</t>
  </si>
  <si>
    <t>PVC CONDUIT FT COPLA 20 I</t>
  </si>
  <si>
    <t>PVC CONDUIT FT COPLA 25 I</t>
  </si>
  <si>
    <t>PVC CONDUIT FT COPLA 32 I</t>
  </si>
  <si>
    <t>PVC CONDUIT FT TERMINALIN C/TUERCA 20 I</t>
  </si>
  <si>
    <t>PVC CONDUIT FT TERMINALIN C/TUERCA 25 I</t>
  </si>
  <si>
    <t>PVC CONDUIT FT TERMINALIN C/TUERCA 32 I</t>
  </si>
  <si>
    <t>SALIDA CAJA CONDUIT 16MM I</t>
  </si>
  <si>
    <t>SALIDA CAJA CONDUIT 20MM I</t>
  </si>
  <si>
    <t>SALIDA CAJA CONDUIT 25MM I</t>
  </si>
  <si>
    <t>SALIDA CAJA CONDUIT 32MM I</t>
  </si>
  <si>
    <t>PVC CONDUIT FT ABRAZADERA 16 I</t>
  </si>
  <si>
    <t>PVC CONDUIT FT ABRAZADERA 20 I</t>
  </si>
  <si>
    <t>PVC CONDUIT FT ABRAZADERA 25 I</t>
  </si>
  <si>
    <t>PVC CONDUIT FT ABRAZADERA 32 I</t>
  </si>
  <si>
    <t>PVC CONDUIT CAMARA REGISTRO 110X20</t>
  </si>
  <si>
    <t>PVC CONDUIT CAMARA REGISTRO 110X25</t>
  </si>
  <si>
    <t>CAJAS ELÉCTRICAS CONDUIT</t>
  </si>
  <si>
    <t>CAJA CONDUIT TABIQUE C/ORE MET 16-20 GRI</t>
  </si>
  <si>
    <t>PVC CONDUIT CAJA CORRIENTE 16-20 N GRI</t>
  </si>
  <si>
    <t>CAJA CONDUIT TABIQUE C/ORE MET 16-20 NAR</t>
  </si>
  <si>
    <t>PVC CONDUIT CAJA CORRIENTE 16-20 N NAR</t>
  </si>
  <si>
    <t>CONDUIT LIBRE HALÓGENO</t>
  </si>
  <si>
    <t>TUBO CONDUIT LIBRE DE HALOGENO</t>
  </si>
  <si>
    <t>TUBO LIBRE HALOGENO 3M 20 (750N) MEDIO</t>
  </si>
  <si>
    <t>TUBO LIBRE HALOGENO 3M 25 (750N) MEDIO</t>
  </si>
  <si>
    <t>TUBO LIBRE HALOGENO 3M 32 (750N) MEDIO</t>
  </si>
  <si>
    <t>TUBO LIBRE HALOGENO 3M 20 (1250N) FUERTE</t>
  </si>
  <si>
    <t>TUBO LIBRE HALOGENO 3M 25 (1250N) FUERTE</t>
  </si>
  <si>
    <t>TUBO LIBRE HALOGENO 3M 32 (1250N) FUERTE</t>
  </si>
  <si>
    <t>FITTING CONDUIT LIBRE DE HALOGENO</t>
  </si>
  <si>
    <t>CONDUIT LIBRE HALOGENO FT CODO 90° 20</t>
  </si>
  <si>
    <t>CONDUIT LIBRE HALOGENO FT CODO 90° 25</t>
  </si>
  <si>
    <t>CONDUIT LIBRE HALOGENO FT CODO 90° 32</t>
  </si>
  <si>
    <t>CONDUIT LIBRE HALOGENO FT COPLA 20</t>
  </si>
  <si>
    <t>CONDUIT LIBRE HALOGENO FT COPLA 25</t>
  </si>
  <si>
    <t>CONDUIT LIBRE HALOGENO FT COPLA 32</t>
  </si>
  <si>
    <t>CONDUIT LIBRE HALOGENO FT TERMINAL 20</t>
  </si>
  <si>
    <t>CONDUIT LIBRE HALOGENO FT TERMINAL 25</t>
  </si>
  <si>
    <t>CONDUIT LIBRE HALOGENO FT TERMINAL 32</t>
  </si>
  <si>
    <t>CONDUIT LIBRE HALOGENO ACC ABRAZADERA 20</t>
  </si>
  <si>
    <t>CONDUIT LIBRE HALOGENO ACC ABRAZADERA 25</t>
  </si>
  <si>
    <t>CONDUIT LIBRE HALOGENO ACC ABRAZADERA 32</t>
  </si>
  <si>
    <t>SISTEMAS HIDRÁULICOS FEBRERO 2026 - LISTA PRECIOS</t>
  </si>
  <si>
    <t>CANTIDAD A COTIZAR</t>
  </si>
  <si>
    <t>ALIANZA - FIDELIDAD - SIN ACUERDO COMERCIAL</t>
  </si>
  <si>
    <t>UNIDAD EMPAQUE VENTA (UNIDADES)</t>
  </si>
  <si>
    <t>UNIDAD EMPAQUE VENTA (FORMATO)</t>
  </si>
  <si>
    <t>Modo Venta</t>
  </si>
  <si>
    <t>Precio Lista 2026</t>
  </si>
  <si>
    <t>Descuento</t>
  </si>
  <si>
    <t>Precio Final</t>
  </si>
  <si>
    <t>A pedido</t>
  </si>
  <si>
    <t>Rank</t>
  </si>
  <si>
    <t>PVC Conduit y Libre Halógeno</t>
  </si>
  <si>
    <t>PPRCT</t>
  </si>
  <si>
    <t>PPR</t>
  </si>
  <si>
    <t>Adhes. Lubric Teflón</t>
  </si>
  <si>
    <t>PVC Sanit Gris</t>
  </si>
  <si>
    <t>PVC Gris Oscuro No Certif.</t>
  </si>
  <si>
    <t>PVC Sanit Blanco</t>
  </si>
  <si>
    <t>Inst. Baño y Cocina</t>
  </si>
  <si>
    <t>Canaletas Techo</t>
  </si>
  <si>
    <t>Menú principal - Lista de precios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</si>
</sst>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;[Red]\-#,##0;"/>
    <numFmt numFmtId="165" formatCode="dd\-mm\-yyyy"/>
    <numFmt numFmtId="166" formatCode="0;\-0;"/>
  </numFmts>
  <fonts count="38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charset val="238"/>
    </font>
    <font>
      <sz val="11"/>
      <color theme="1"/>
      <name val="Arial Narrow"/>
      <family val="2"/>
      <charset val="1"/>
    </font>
    <font>
      <sz val="22"/>
      <color theme="1"/>
      <name val="Arial Narrow"/>
      <family val="2"/>
      <charset val="1"/>
    </font>
    <font>
      <sz val="8"/>
      <color theme="0"/>
      <name val="Arial Narrow"/>
      <family val="2"/>
      <charset val="1"/>
    </font>
    <font>
      <b/>
      <sz val="11"/>
      <color theme="1"/>
      <name val="Arial Narrow"/>
      <family val="2"/>
      <charset val="1"/>
    </font>
    <font>
      <b/>
      <sz val="14"/>
      <color theme="1"/>
      <name val="Arial Narrow"/>
      <family val="2"/>
      <charset val="1"/>
    </font>
    <font>
      <i/>
      <sz val="14"/>
      <color theme="1"/>
      <name val="Arial Narrow"/>
      <family val="2"/>
      <charset val="1"/>
    </font>
    <font>
      <i/>
      <sz val="16"/>
      <color theme="1"/>
      <name val="Arial Narrow"/>
      <family val="2"/>
      <charset val="1"/>
    </font>
    <font>
      <b/>
      <sz val="18"/>
      <color theme="1"/>
      <name val="Arial Narrow"/>
      <family val="2"/>
      <charset val="1"/>
    </font>
    <font>
      <sz val="36"/>
      <color theme="1" tint="0.3498947111423078"/>
      <name val="Arial Narrow"/>
      <family val="2"/>
      <charset val="1"/>
    </font>
    <font>
      <b/>
      <sz val="9"/>
      <name val="Arial Narrow"/>
      <family val="2"/>
      <charset val="1"/>
    </font>
    <font>
      <sz val="9"/>
      <color theme="0"/>
      <name val="Arial Narrow"/>
      <family val="2"/>
      <charset val="1"/>
    </font>
    <font>
      <sz val="11"/>
      <color rgb="FF000000"/>
      <name val="Arial Narrow"/>
      <family val="2"/>
      <charset val="1"/>
    </font>
    <font>
      <sz val="12"/>
      <color theme="1"/>
      <name val="Arial Narrow"/>
      <family val="2"/>
      <charset val="1"/>
    </font>
    <font>
      <sz val="16"/>
      <color theme="1"/>
      <name val="Arial Narrow"/>
      <family val="2"/>
      <charset val="1"/>
    </font>
    <font>
      <b/>
      <i/>
      <sz val="16"/>
      <color theme="1"/>
      <name val="Arial Narrow"/>
      <family val="2"/>
      <charset val="1"/>
    </font>
    <font>
      <b/>
      <sz val="9"/>
      <color theme="1"/>
      <name val="Arial Narrow"/>
      <family val="2"/>
      <charset val="1"/>
    </font>
    <font>
      <b/>
      <sz val="9"/>
      <color theme="0"/>
      <name val="Arial Narrow"/>
      <family val="2"/>
      <charset val="1"/>
    </font>
    <font>
      <b/>
      <sz val="10"/>
      <color rgb="FF000000"/>
      <name val="Arial"/>
      <family val="2"/>
    </font>
    <font>
      <b/>
      <sz val="11"/>
      <color rgb="FFC00000"/>
      <name val="Arial"/>
      <family val="2"/>
    </font>
    <font>
      <b/>
      <sz val="11"/>
      <color rgb="FFFFFFFF"/>
      <name val="Arial"/>
      <family val="2"/>
    </font>
    <font>
      <b/>
      <sz val="18"/>
      <color rgb="FFFFFFFF"/>
      <name val="Arial"/>
      <family val="2"/>
    </font>
    <font>
      <i/>
      <sz val="10"/>
      <color rgb="FF595959"/>
      <name val="Arial"/>
      <family val="2"/>
    </font>
    <font>
      <b/>
      <sz val="11"/>
      <color rgb="FF404040"/>
      <name val="Arial"/>
      <family val="2"/>
    </font>
    <font>
      <b/>
      <sz val="14"/>
      <color rgb="FFE97132"/>
      <name val="Arial"/>
      <family val="2"/>
    </font>
    <font>
      <b/>
      <sz val="11"/>
      <name val="Arial"/>
      <family val="2"/>
    </font>
    <font>
      <i/>
      <sz val="10"/>
      <color rgb="FF808080"/>
      <name val="Arial"/>
      <family val="2"/>
    </font>
    <font>
      <b/>
      <sz val="11"/>
      <color rgb="FFFFFFFF"/>
      <name val="Arial"/>
      <family val="2"/>
    </font>
    <font>
      <sz val="10"/>
      <name val="Arial"/>
      <family val="2"/>
    </font>
    <font>
      <b/>
      <sz val="10"/>
      <color rgb="FFE97132"/>
      <name val="Arial"/>
      <family val="2"/>
    </font>
    <font>
      <b/>
      <u/>
      <sz val="12"/>
      <color rgb="FFFFFFFF"/>
      <name val="Arial"/>
      <family val="2"/>
    </font>
    <font>
      <sz val="11"/>
      <color theme="1"/>
      <name val="Calibri"/>
      <family val="2"/>
      <charset val="1"/>
    </font>
    <font>
      <b/>
      <sz val="9"/>
      <name val="Arial Narrow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Arial Narrow"/>
      <family val="2"/>
    </font>
  </fonts>
  <fills count="25">
    <fill>
      <patternFill patternType="none"/>
    </fill>
    <fill>
      <patternFill patternType="gray125"/>
    </fill>
    <fill>
      <patternFill patternType="solid">
        <fgColor theme="0" tint="-4.9989318521683403E-2"/>
        <bgColor rgb="FFE2F0D9"/>
      </patternFill>
    </fill>
    <fill>
      <patternFill patternType="solid">
        <fgColor rgb="FF99CCFF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theme="8" tint="0.79989013336588644"/>
        <bgColor rgb="FFD9D9D9"/>
      </patternFill>
    </fill>
    <fill>
      <patternFill patternType="solid">
        <fgColor theme="0" tint="-0.14999847407452621"/>
        <bgColor rgb="FFDAE3F3"/>
      </patternFill>
    </fill>
    <fill>
      <patternFill patternType="solid">
        <fgColor rgb="FF00FFFF"/>
        <bgColor rgb="FF00FFFF"/>
      </patternFill>
    </fill>
    <fill>
      <patternFill patternType="solid">
        <fgColor theme="5" tint="-0.249977111117893"/>
        <bgColor rgb="FF993300"/>
      </patternFill>
    </fill>
    <fill>
      <patternFill patternType="solid">
        <fgColor theme="1"/>
        <bgColor rgb="FF003300"/>
      </patternFill>
    </fill>
    <fill>
      <patternFill patternType="solid">
        <fgColor rgb="FF33CCFF"/>
        <bgColor rgb="FF00B0F0"/>
      </patternFill>
    </fill>
    <fill>
      <patternFill patternType="solid">
        <fgColor theme="5" tint="0.79989013336588644"/>
        <bgColor rgb="FFF2F2F2"/>
      </patternFill>
    </fill>
    <fill>
      <patternFill patternType="solid">
        <fgColor theme="6" tint="-0.249977111117893"/>
        <bgColor rgb="FF969696"/>
      </patternFill>
    </fill>
    <fill>
      <patternFill patternType="solid">
        <fgColor rgb="FF0070C0"/>
        <bgColor rgb="FF0563C1"/>
      </patternFill>
    </fill>
    <fill>
      <patternFill patternType="solid">
        <fgColor theme="8" tint="-0.249977111117893"/>
        <bgColor rgb="FF0563C1"/>
      </patternFill>
    </fill>
    <fill>
      <patternFill patternType="solid">
        <fgColor theme="9" tint="0.79989013336588644"/>
        <bgColor rgb="FFF2F2F2"/>
      </patternFill>
    </fill>
    <fill>
      <patternFill patternType="solid">
        <fgColor rgb="FFF4B084"/>
      </patternFill>
    </fill>
    <fill>
      <patternFill patternType="solid">
        <fgColor rgb="FFFFF2CC"/>
      </patternFill>
    </fill>
    <fill>
      <patternFill patternType="solid">
        <fgColor rgb="FF404040"/>
      </patternFill>
    </fill>
    <fill>
      <patternFill patternType="solid">
        <fgColor rgb="FFE97132"/>
      </patternFill>
    </fill>
    <fill>
      <patternFill patternType="solid">
        <fgColor rgb="FFF8F8F8"/>
      </patternFill>
    </fill>
    <fill>
      <patternFill patternType="solid">
        <fgColor rgb="FF54823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E0E0E0"/>
      </left>
      <right style="thin">
        <color rgb="FFE0E0E0"/>
      </right>
      <top style="thin">
        <color rgb="FFE0E0E0"/>
      </top>
      <bottom style="thin">
        <color rgb="FFE0E0E0"/>
      </bottom>
      <diagonal/>
    </border>
  </borders>
  <cellStyleXfs count="4">
    <xf numFmtId="0" fontId="0" fillId="0" borderId="0"/>
    <xf numFmtId="9" fontId="32" fillId="0" borderId="0"/>
    <xf numFmtId="0" fontId="1" fillId="0" borderId="0"/>
    <xf numFmtId="0" fontId="32" fillId="0" borderId="0">
      <alignment vertical="center"/>
    </xf>
  </cellStyleXfs>
  <cellXfs count="144">
    <xf numFmtId="0" fontId="0" fillId="0" borderId="0" xfId="0"/>
    <xf numFmtId="0" fontId="2" fillId="0" borderId="0" xfId="0" applyFont="1"/>
    <xf numFmtId="0" fontId="4" fillId="0" borderId="0" xfId="0" applyFont="1"/>
    <xf numFmtId="0" fontId="5" fillId="3" borderId="1" xfId="0" applyFont="1" applyFill="1" applyBorder="1" applyAlignment="1">
      <alignment horizontal="center"/>
    </xf>
    <xf numFmtId="0" fontId="2" fillId="0" borderId="2" xfId="0" applyFont="1" applyBorder="1"/>
    <xf numFmtId="0" fontId="6" fillId="0" borderId="1" xfId="0" applyFont="1" applyBorder="1"/>
    <xf numFmtId="0" fontId="2" fillId="0" borderId="3" xfId="0" applyFont="1" applyBorder="1"/>
    <xf numFmtId="0" fontId="6" fillId="0" borderId="0" xfId="0" applyFont="1"/>
    <xf numFmtId="0" fontId="2" fillId="0" borderId="4" xfId="0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9" fontId="11" fillId="4" borderId="1" xfId="0" applyNumberFormat="1" applyFont="1" applyFill="1" applyBorder="1" applyAlignment="1">
      <alignment horizontal="center" vertical="center" wrapText="1"/>
    </xf>
    <xf numFmtId="9" fontId="11" fillId="6" borderId="1" xfId="0" applyNumberFormat="1" applyFont="1" applyFill="1" applyBorder="1" applyAlignment="1">
      <alignment horizontal="center" vertical="center" wrapText="1"/>
    </xf>
    <xf numFmtId="9" fontId="11" fillId="7" borderId="1" xfId="0" applyNumberFormat="1" applyFont="1" applyFill="1" applyBorder="1" applyAlignment="1">
      <alignment horizontal="center" vertical="center" wrapText="1"/>
    </xf>
    <xf numFmtId="9" fontId="12" fillId="8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49" fontId="2" fillId="0" borderId="5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9" borderId="0" xfId="0" applyFont="1" applyFill="1" applyAlignment="1">
      <alignment vertical="center"/>
    </xf>
    <xf numFmtId="0" fontId="2" fillId="9" borderId="0" xfId="0" applyFont="1" applyFill="1" applyAlignment="1">
      <alignment horizontal="left" vertical="center"/>
    </xf>
    <xf numFmtId="0" fontId="2" fillId="9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9" fontId="2" fillId="0" borderId="0" xfId="0" applyNumberFormat="1" applyFont="1" applyAlignment="1">
      <alignment vertical="center"/>
    </xf>
    <xf numFmtId="9" fontId="12" fillId="12" borderId="1" xfId="0" applyNumberFormat="1" applyFont="1" applyFill="1" applyBorder="1" applyAlignment="1">
      <alignment horizontal="center" vertical="center" wrapText="1"/>
    </xf>
    <xf numFmtId="9" fontId="12" fillId="13" borderId="1" xfId="0" applyNumberFormat="1" applyFont="1" applyFill="1" applyBorder="1" applyAlignment="1">
      <alignment horizontal="center" vertical="center" wrapText="1"/>
    </xf>
    <xf numFmtId="9" fontId="17" fillId="5" borderId="1" xfId="0" applyNumberFormat="1" applyFont="1" applyFill="1" applyBorder="1" applyAlignment="1">
      <alignment horizontal="center" vertical="center" wrapText="1"/>
    </xf>
    <xf numFmtId="9" fontId="18" fillId="9" borderId="1" xfId="0" applyNumberFormat="1" applyFont="1" applyFill="1" applyBorder="1" applyAlignment="1">
      <alignment horizontal="center" vertical="center" wrapText="1"/>
    </xf>
    <xf numFmtId="9" fontId="18" fillId="14" borderId="1" xfId="0" applyNumberFormat="1" applyFont="1" applyFill="1" applyBorder="1" applyAlignment="1">
      <alignment horizontal="center" vertical="center" wrapText="1"/>
    </xf>
    <xf numFmtId="0" fontId="5" fillId="15" borderId="1" xfId="0" applyFont="1" applyFill="1" applyBorder="1" applyAlignment="1">
      <alignment horizontal="center" vertical="center"/>
    </xf>
    <xf numFmtId="9" fontId="2" fillId="9" borderId="0" xfId="0" applyNumberFormat="1" applyFont="1" applyFill="1" applyAlignment="1">
      <alignment vertical="center"/>
    </xf>
    <xf numFmtId="0" fontId="19" fillId="16" borderId="16" xfId="0" applyFont="1" applyFill="1" applyBorder="1" applyAlignment="1">
      <alignment horizontal="center" vertical="center" wrapText="1"/>
    </xf>
    <xf numFmtId="164" fontId="20" fillId="17" borderId="16" xfId="0" applyNumberFormat="1" applyFont="1" applyFill="1" applyBorder="1" applyAlignment="1">
      <alignment horizontal="center" vertical="center"/>
    </xf>
    <xf numFmtId="0" fontId="21" fillId="18" borderId="0" xfId="0" applyFont="1" applyFill="1" applyAlignment="1">
      <alignment horizontal="center" vertical="center"/>
    </xf>
    <xf numFmtId="1" fontId="0" fillId="0" borderId="0" xfId="0" applyNumberFormat="1"/>
    <xf numFmtId="0" fontId="24" fillId="0" borderId="0" xfId="0" applyFont="1" applyAlignment="1">
      <alignment horizontal="right" vertical="center"/>
    </xf>
    <xf numFmtId="3" fontId="25" fillId="0" borderId="0" xfId="0" applyNumberFormat="1" applyFont="1" applyAlignment="1">
      <alignment horizontal="left" vertical="center"/>
    </xf>
    <xf numFmtId="165" fontId="26" fillId="0" borderId="0" xfId="0" applyNumberFormat="1" applyFont="1" applyAlignment="1">
      <alignment horizontal="left" vertical="center"/>
    </xf>
    <xf numFmtId="0" fontId="28" fillId="18" borderId="17" xfId="0" applyFont="1" applyFill="1" applyBorder="1" applyAlignment="1">
      <alignment horizontal="center" vertical="center" wrapText="1"/>
    </xf>
    <xf numFmtId="0" fontId="29" fillId="20" borderId="17" xfId="0" applyFont="1" applyFill="1" applyBorder="1" applyAlignment="1">
      <alignment vertical="center"/>
    </xf>
    <xf numFmtId="0" fontId="29" fillId="20" borderId="17" xfId="0" applyFont="1" applyFill="1" applyBorder="1" applyAlignment="1">
      <alignment horizontal="center" vertical="center"/>
    </xf>
    <xf numFmtId="0" fontId="29" fillId="20" borderId="17" xfId="0" applyFont="1" applyFill="1" applyBorder="1" applyAlignment="1">
      <alignment vertical="center" wrapText="1"/>
    </xf>
    <xf numFmtId="166" fontId="30" fillId="20" borderId="17" xfId="0" applyNumberFormat="1" applyFont="1" applyFill="1" applyBorder="1" applyAlignment="1">
      <alignment horizontal="center" vertical="center"/>
    </xf>
    <xf numFmtId="0" fontId="29" fillId="0" borderId="17" xfId="0" applyFont="1" applyBorder="1" applyAlignment="1">
      <alignment vertical="center"/>
    </xf>
    <xf numFmtId="0" fontId="29" fillId="0" borderId="17" xfId="0" applyFont="1" applyBorder="1" applyAlignment="1">
      <alignment horizontal="center" vertical="center"/>
    </xf>
    <xf numFmtId="0" fontId="29" fillId="0" borderId="17" xfId="0" applyFont="1" applyBorder="1" applyAlignment="1">
      <alignment vertical="center" wrapText="1"/>
    </xf>
    <xf numFmtId="166" fontId="30" fillId="0" borderId="17" xfId="0" applyNumberFormat="1" applyFont="1" applyBorder="1" applyAlignment="1">
      <alignment horizontal="center" vertical="center"/>
    </xf>
    <xf numFmtId="0" fontId="31" fillId="21" borderId="0" xfId="0" applyFont="1" applyFill="1" applyAlignment="1">
      <alignment horizontal="center" vertical="center"/>
    </xf>
    <xf numFmtId="9" fontId="33" fillId="22" borderId="1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2" fillId="0" borderId="6" xfId="3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4" fillId="23" borderId="0" xfId="0" applyFont="1" applyFill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8" xfId="0" applyBorder="1"/>
    <xf numFmtId="0" fontId="0" fillId="0" borderId="7" xfId="0" applyBorder="1"/>
    <xf numFmtId="0" fontId="3" fillId="2" borderId="1" xfId="0" applyFont="1" applyFill="1" applyBorder="1" applyAlignment="1">
      <alignment vertical="center" wrapText="1"/>
    </xf>
    <xf numFmtId="0" fontId="0" fillId="0" borderId="9" xfId="0" applyBorder="1"/>
    <xf numFmtId="0" fontId="0" fillId="0" borderId="10" xfId="0" applyBorder="1"/>
    <xf numFmtId="0" fontId="0" fillId="0" borderId="3" xfId="0" applyBorder="1"/>
    <xf numFmtId="0" fontId="2" fillId="0" borderId="0" xfId="0" applyFont="1"/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0" borderId="13" xfId="0" applyBorder="1"/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/>
    <xf numFmtId="0" fontId="27" fillId="0" borderId="0" xfId="0" applyFont="1" applyAlignment="1">
      <alignment horizontal="center" vertical="center" wrapText="1"/>
    </xf>
    <xf numFmtId="0" fontId="22" fillId="19" borderId="0" xfId="0" applyFont="1" applyFill="1" applyAlignment="1">
      <alignment horizontal="center" vertical="center"/>
    </xf>
    <xf numFmtId="0" fontId="34" fillId="0" borderId="6" xfId="2" applyFont="1" applyBorder="1" applyAlignment="1">
      <alignment horizontal="center" vertical="center" wrapText="1"/>
    </xf>
    <xf numFmtId="0" fontId="34" fillId="0" borderId="8" xfId="2" applyFont="1" applyBorder="1" applyAlignment="1">
      <alignment horizontal="center" vertical="center" wrapText="1"/>
    </xf>
    <xf numFmtId="0" fontId="34" fillId="0" borderId="7" xfId="2" applyFont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7" fillId="0" borderId="6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2" fillId="0" borderId="1" xfId="3" applyBorder="1" applyAlignment="1">
      <alignment horizontal="center" vertical="center"/>
    </xf>
    <xf numFmtId="0" fontId="37" fillId="0" borderId="1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7" fillId="0" borderId="6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0" fillId="0" borderId="14" xfId="0" applyBorder="1"/>
    <xf numFmtId="0" fontId="34" fillId="0" borderId="1" xfId="0" applyFont="1" applyBorder="1" applyAlignment="1">
      <alignment vertical="center" wrapText="1"/>
    </xf>
    <xf numFmtId="0" fontId="34" fillId="0" borderId="8" xfId="0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 wrapText="1"/>
    </xf>
    <xf numFmtId="0" fontId="10" fillId="10" borderId="5" xfId="0" applyFont="1" applyFill="1" applyBorder="1" applyAlignment="1">
      <alignment horizontal="center" vertical="center" wrapText="1"/>
    </xf>
    <xf numFmtId="0" fontId="34" fillId="24" borderId="6" xfId="2" applyFont="1" applyFill="1" applyBorder="1" applyAlignment="1">
      <alignment horizontal="center" vertical="center" wrapText="1"/>
    </xf>
    <xf numFmtId="0" fontId="34" fillId="24" borderId="8" xfId="2" applyFont="1" applyFill="1" applyBorder="1" applyAlignment="1">
      <alignment horizontal="center" vertical="center" wrapText="1"/>
    </xf>
    <xf numFmtId="0" fontId="34" fillId="24" borderId="7" xfId="2" applyFont="1" applyFill="1" applyBorder="1" applyAlignment="1">
      <alignment horizontal="center" vertical="center" wrapText="1"/>
    </xf>
    <xf numFmtId="0" fontId="34" fillId="24" borderId="6" xfId="0" applyFont="1" applyFill="1" applyBorder="1" applyAlignment="1">
      <alignment horizontal="center" vertical="center" wrapText="1"/>
    </xf>
    <xf numFmtId="0" fontId="0" fillId="24" borderId="8" xfId="0" applyFill="1" applyBorder="1" applyAlignment="1">
      <alignment horizontal="center" vertical="center" wrapText="1"/>
    </xf>
    <xf numFmtId="0" fontId="0" fillId="24" borderId="7" xfId="0" applyFill="1" applyBorder="1" applyAlignment="1">
      <alignment horizontal="center" vertical="center" wrapText="1"/>
    </xf>
    <xf numFmtId="0" fontId="34" fillId="24" borderId="8" xfId="0" applyFont="1" applyFill="1" applyBorder="1" applyAlignment="1">
      <alignment horizontal="center" vertical="center" wrapText="1"/>
    </xf>
    <xf numFmtId="0" fontId="34" fillId="24" borderId="7" xfId="0" applyFont="1" applyFill="1" applyBorder="1" applyAlignment="1">
      <alignment horizontal="center" vertical="center" wrapText="1"/>
    </xf>
    <xf numFmtId="0" fontId="35" fillId="0" borderId="6" xfId="0" applyFont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11" borderId="1" xfId="0" applyFont="1" applyFill="1" applyBorder="1" applyAlignment="1">
      <alignment horizontal="center" vertical="center" wrapText="1"/>
    </xf>
    <xf numFmtId="0" fontId="0" fillId="0" borderId="15" xfId="0" applyBorder="1"/>
    <xf numFmtId="0" fontId="10" fillId="10" borderId="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00000000-0005-0000-0000-000007000000}"/>
    <cellStyle name="Normal 7" xfId="3" xr:uid="{00000000-0005-0000-0000-000008000000}"/>
    <cellStyle name="Porcentaje" xfId="1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70C0"/>
      <rgbColor rgb="FFC0C0C0"/>
      <rgbColor rgb="FF7C7C7C"/>
      <rgbColor rgb="FF9999FF"/>
      <rgbColor rgb="FF993366"/>
      <rgbColor rgb="FFF2F2F2"/>
      <rgbColor rgb="FFDAE3F3"/>
      <rgbColor rgb="FF660066"/>
      <rgbColor rgb="FFFF8080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E2F0D9"/>
      <rgbColor rgb="FFFFFF99"/>
      <rgbColor rgb="FF99CCFF"/>
      <rgbColor rgb="FFFF99CC"/>
      <rgbColor rgb="FFCC99FF"/>
      <rgbColor rgb="FFFBE5D6"/>
      <rgbColor rgb="FF3366FF"/>
      <rgbColor rgb="FF33CCFF"/>
      <rgbColor rgb="FF99CC00"/>
      <rgbColor rgb="FFFFC000"/>
      <rgbColor rgb="FFFF9900"/>
      <rgbColor rgb="FFC55A11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2F5597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06/relationships/rdRichValue" Target="richData/rdrichvalue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22/10/relationships/richValueRel" Target="richData/richValueRel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eetMetadata" Target="metadata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60840</xdr:colOff>
      <xdr:row>7</xdr:row>
      <xdr:rowOff>37800</xdr:rowOff>
    </xdr:from>
    <xdr:to>
      <xdr:col>0</xdr:col>
      <xdr:colOff>3558240</xdr:colOff>
      <xdr:row>18</xdr:row>
      <xdr:rowOff>90000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840" y="1238040"/>
          <a:ext cx="3497400" cy="2552760"/>
        </a:xfrm>
        <a:prstGeom prst="rect">
          <a:avLst/>
        </a:prstGeom>
        <a:noFill/>
        <a:ln w="0">
          <a:noFill/>
          <a:prstDash val="solid"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226" Type="http://schemas.openxmlformats.org/officeDocument/2006/relationships/image" Target="../media/image226.png"/><Relationship Id="rId268" Type="http://schemas.openxmlformats.org/officeDocument/2006/relationships/image" Target="../media/image268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16" Type="http://schemas.openxmlformats.org/officeDocument/2006/relationships/image" Target="../media/image216.jpeg"/><Relationship Id="rId237" Type="http://schemas.openxmlformats.org/officeDocument/2006/relationships/image" Target="../media/image237.png"/><Relationship Id="rId258" Type="http://schemas.openxmlformats.org/officeDocument/2006/relationships/image" Target="../media/image258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jpeg"/><Relationship Id="rId227" Type="http://schemas.openxmlformats.org/officeDocument/2006/relationships/image" Target="../media/image227.png"/><Relationship Id="rId248" Type="http://schemas.openxmlformats.org/officeDocument/2006/relationships/image" Target="../media/image248.png"/><Relationship Id="rId269" Type="http://schemas.openxmlformats.org/officeDocument/2006/relationships/image" Target="../media/image269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png"/><Relationship Id="rId217" Type="http://schemas.openxmlformats.org/officeDocument/2006/relationships/image" Target="../media/image217.jpe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59" Type="http://schemas.openxmlformats.org/officeDocument/2006/relationships/image" Target="../media/image259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270" Type="http://schemas.openxmlformats.org/officeDocument/2006/relationships/image" Target="../media/image270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28" Type="http://schemas.openxmlformats.org/officeDocument/2006/relationships/image" Target="../media/image228.pn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18" Type="http://schemas.openxmlformats.org/officeDocument/2006/relationships/image" Target="../media/image218.jpeg"/><Relationship Id="rId239" Type="http://schemas.openxmlformats.org/officeDocument/2006/relationships/image" Target="../media/image239.png"/><Relationship Id="rId250" Type="http://schemas.openxmlformats.org/officeDocument/2006/relationships/image" Target="../media/image250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208" Type="http://schemas.openxmlformats.org/officeDocument/2006/relationships/image" Target="../media/image208.jpeg"/><Relationship Id="rId229" Type="http://schemas.openxmlformats.org/officeDocument/2006/relationships/image" Target="../media/image229.png"/><Relationship Id="rId240" Type="http://schemas.openxmlformats.org/officeDocument/2006/relationships/image" Target="../media/image240.png"/><Relationship Id="rId261" Type="http://schemas.openxmlformats.org/officeDocument/2006/relationships/image" Target="../media/image261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8" Type="http://schemas.openxmlformats.org/officeDocument/2006/relationships/image" Target="../media/image8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219" Type="http://schemas.openxmlformats.org/officeDocument/2006/relationships/image" Target="../media/image219.jpeg"/><Relationship Id="rId230" Type="http://schemas.openxmlformats.org/officeDocument/2006/relationships/image" Target="../media/image230.png"/><Relationship Id="rId251" Type="http://schemas.openxmlformats.org/officeDocument/2006/relationships/image" Target="../media/image251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95" Type="http://schemas.openxmlformats.org/officeDocument/2006/relationships/image" Target="../media/image195.png"/><Relationship Id="rId209" Type="http://schemas.openxmlformats.org/officeDocument/2006/relationships/image" Target="../media/image209.jpeg"/><Relationship Id="rId220" Type="http://schemas.openxmlformats.org/officeDocument/2006/relationships/image" Target="../media/image220.jpeg"/><Relationship Id="rId241" Type="http://schemas.openxmlformats.org/officeDocument/2006/relationships/image" Target="../media/image24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78" Type="http://schemas.openxmlformats.org/officeDocument/2006/relationships/image" Target="../media/image78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64" Type="http://schemas.openxmlformats.org/officeDocument/2006/relationships/image" Target="../media/image164.png"/><Relationship Id="rId185" Type="http://schemas.openxmlformats.org/officeDocument/2006/relationships/image" Target="../media/image185.png"/><Relationship Id="rId9" Type="http://schemas.openxmlformats.org/officeDocument/2006/relationships/image" Target="../media/image9.png"/><Relationship Id="rId210" Type="http://schemas.openxmlformats.org/officeDocument/2006/relationships/image" Target="../media/image210.jpe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52" Type="http://schemas.openxmlformats.org/officeDocument/2006/relationships/image" Target="../media/image252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221" Type="http://schemas.openxmlformats.org/officeDocument/2006/relationships/image" Target="../media/image221.jpeg"/><Relationship Id="rId242" Type="http://schemas.openxmlformats.org/officeDocument/2006/relationships/image" Target="../media/image242.png"/><Relationship Id="rId263" Type="http://schemas.openxmlformats.org/officeDocument/2006/relationships/image" Target="../media/image263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11" Type="http://schemas.openxmlformats.org/officeDocument/2006/relationships/image" Target="../media/image211.jpeg"/><Relationship Id="rId232" Type="http://schemas.openxmlformats.org/officeDocument/2006/relationships/image" Target="../media/image232.png"/><Relationship Id="rId253" Type="http://schemas.openxmlformats.org/officeDocument/2006/relationships/image" Target="../media/image253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264" Type="http://schemas.openxmlformats.org/officeDocument/2006/relationships/image" Target="../media/image264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png"/><Relationship Id="rId212" Type="http://schemas.openxmlformats.org/officeDocument/2006/relationships/image" Target="../media/image212.jpeg"/><Relationship Id="rId233" Type="http://schemas.openxmlformats.org/officeDocument/2006/relationships/image" Target="../media/image233.png"/><Relationship Id="rId254" Type="http://schemas.openxmlformats.org/officeDocument/2006/relationships/image" Target="../media/image254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265" Type="http://schemas.openxmlformats.org/officeDocument/2006/relationships/image" Target="../media/image265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jpeg"/><Relationship Id="rId234" Type="http://schemas.openxmlformats.org/officeDocument/2006/relationships/image" Target="../media/image234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5.pn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png"/><Relationship Id="rId266" Type="http://schemas.openxmlformats.org/officeDocument/2006/relationships/image" Target="../media/image266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14" Type="http://schemas.openxmlformats.org/officeDocument/2006/relationships/image" Target="../media/image214.jpeg"/><Relationship Id="rId235" Type="http://schemas.openxmlformats.org/officeDocument/2006/relationships/image" Target="../media/image235.png"/><Relationship Id="rId256" Type="http://schemas.openxmlformats.org/officeDocument/2006/relationships/image" Target="../media/image256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5.png"/><Relationship Id="rId246" Type="http://schemas.openxmlformats.org/officeDocument/2006/relationships/image" Target="../media/image246.png"/><Relationship Id="rId267" Type="http://schemas.openxmlformats.org/officeDocument/2006/relationships/image" Target="../media/image26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15" Type="http://schemas.openxmlformats.org/officeDocument/2006/relationships/image" Target="../media/image215.jpeg"/><Relationship Id="rId236" Type="http://schemas.openxmlformats.org/officeDocument/2006/relationships/image" Target="../media/image236.png"/><Relationship Id="rId257" Type="http://schemas.openxmlformats.org/officeDocument/2006/relationships/image" Target="../media/image257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png"/><Relationship Id="rId107" Type="http://schemas.openxmlformats.org/officeDocument/2006/relationships/image" Target="../media/image107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70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0">
    <v>45</v>
    <v>5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  <rv s="0">
    <v>71</v>
    <v>5</v>
  </rv>
  <rv s="0">
    <v>72</v>
    <v>5</v>
  </rv>
  <rv s="0">
    <v>73</v>
    <v>5</v>
  </rv>
  <rv s="0">
    <v>74</v>
    <v>5</v>
  </rv>
  <rv s="0">
    <v>75</v>
    <v>5</v>
  </rv>
  <rv s="0">
    <v>76</v>
    <v>5</v>
  </rv>
  <rv s="0">
    <v>77</v>
    <v>5</v>
  </rv>
  <rv s="0">
    <v>78</v>
    <v>5</v>
  </rv>
  <rv s="0">
    <v>79</v>
    <v>5</v>
  </rv>
  <rv s="0">
    <v>80</v>
    <v>5</v>
  </rv>
  <rv s="0">
    <v>81</v>
    <v>5</v>
  </rv>
  <rv s="0">
    <v>82</v>
    <v>5</v>
  </rv>
  <rv s="0">
    <v>83</v>
    <v>5</v>
  </rv>
  <rv s="0">
    <v>84</v>
    <v>5</v>
  </rv>
  <rv s="0">
    <v>85</v>
    <v>5</v>
  </rv>
  <rv s="0">
    <v>86</v>
    <v>5</v>
  </rv>
  <rv s="0">
    <v>87</v>
    <v>5</v>
  </rv>
  <rv s="0">
    <v>88</v>
    <v>5</v>
  </rv>
  <rv s="0">
    <v>89</v>
    <v>5</v>
  </rv>
  <rv s="0">
    <v>90</v>
    <v>5</v>
  </rv>
  <rv s="0">
    <v>91</v>
    <v>5</v>
  </rv>
  <rv s="0">
    <v>92</v>
    <v>5</v>
  </rv>
  <rv s="0">
    <v>93</v>
    <v>5</v>
  </rv>
  <rv s="0">
    <v>94</v>
    <v>5</v>
  </rv>
  <rv s="0">
    <v>95</v>
    <v>5</v>
  </rv>
  <rv s="0">
    <v>96</v>
    <v>5</v>
  </rv>
  <rv s="0">
    <v>97</v>
    <v>5</v>
  </rv>
  <rv s="0">
    <v>98</v>
    <v>5</v>
  </rv>
  <rv s="0">
    <v>99</v>
    <v>5</v>
  </rv>
  <rv s="0">
    <v>100</v>
    <v>5</v>
  </rv>
  <rv s="0">
    <v>101</v>
    <v>5</v>
  </rv>
  <rv s="0">
    <v>102</v>
    <v>5</v>
  </rv>
  <rv s="0">
    <v>103</v>
    <v>5</v>
  </rv>
  <rv s="0">
    <v>104</v>
    <v>5</v>
  </rv>
  <rv s="0">
    <v>105</v>
    <v>5</v>
  </rv>
  <rv s="0">
    <v>106</v>
    <v>5</v>
  </rv>
  <rv s="0">
    <v>107</v>
    <v>5</v>
  </rv>
  <rv s="0">
    <v>108</v>
    <v>5</v>
  </rv>
  <rv s="0">
    <v>109</v>
    <v>5</v>
  </rv>
  <rv s="0">
    <v>110</v>
    <v>5</v>
  </rv>
  <rv s="0">
    <v>111</v>
    <v>5</v>
  </rv>
  <rv s="0">
    <v>112</v>
    <v>5</v>
  </rv>
  <rv s="0">
    <v>113</v>
    <v>5</v>
  </rv>
  <rv s="0">
    <v>114</v>
    <v>5</v>
  </rv>
  <rv s="0">
    <v>115</v>
    <v>5</v>
  </rv>
  <rv s="0">
    <v>116</v>
    <v>5</v>
  </rv>
  <rv s="0">
    <v>117</v>
    <v>5</v>
  </rv>
  <rv s="0">
    <v>118</v>
    <v>5</v>
  </rv>
  <rv s="0">
    <v>119</v>
    <v>5</v>
  </rv>
  <rv s="0">
    <v>120</v>
    <v>5</v>
  </rv>
  <rv s="0">
    <v>121</v>
    <v>5</v>
  </rv>
  <rv s="0">
    <v>122</v>
    <v>5</v>
  </rv>
  <rv s="0">
    <v>123</v>
    <v>5</v>
  </rv>
  <rv s="0">
    <v>124</v>
    <v>5</v>
  </rv>
  <rv s="0">
    <v>125</v>
    <v>5</v>
  </rv>
  <rv s="0">
    <v>126</v>
    <v>5</v>
  </rv>
  <rv s="0">
    <v>127</v>
    <v>5</v>
  </rv>
  <rv s="0">
    <v>128</v>
    <v>5</v>
  </rv>
  <rv s="0">
    <v>129</v>
    <v>5</v>
  </rv>
  <rv s="0">
    <v>130</v>
    <v>5</v>
  </rv>
  <rv s="0">
    <v>131</v>
    <v>5</v>
  </rv>
  <rv s="0">
    <v>132</v>
    <v>5</v>
  </rv>
  <rv s="0">
    <v>133</v>
    <v>5</v>
  </rv>
  <rv s="0">
    <v>134</v>
    <v>5</v>
  </rv>
  <rv s="0">
    <v>135</v>
    <v>5</v>
  </rv>
  <rv s="0">
    <v>136</v>
    <v>5</v>
  </rv>
  <rv s="0">
    <v>137</v>
    <v>5</v>
  </rv>
  <rv s="0">
    <v>138</v>
    <v>5</v>
  </rv>
  <rv s="0">
    <v>139</v>
    <v>5</v>
  </rv>
  <rv s="0">
    <v>140</v>
    <v>5</v>
  </rv>
  <rv s="0">
    <v>141</v>
    <v>5</v>
  </rv>
  <rv s="0">
    <v>142</v>
    <v>5</v>
  </rv>
  <rv s="0">
    <v>143</v>
    <v>5</v>
  </rv>
  <rv s="0">
    <v>144</v>
    <v>5</v>
  </rv>
  <rv s="0">
    <v>145</v>
    <v>5</v>
  </rv>
  <rv s="0">
    <v>146</v>
    <v>5</v>
  </rv>
  <rv s="0">
    <v>147</v>
    <v>5</v>
  </rv>
  <rv s="0">
    <v>148</v>
    <v>5</v>
  </rv>
  <rv s="0">
    <v>149</v>
    <v>5</v>
  </rv>
  <rv s="0">
    <v>150</v>
    <v>5</v>
  </rv>
  <rv s="0">
    <v>151</v>
    <v>5</v>
  </rv>
  <rv s="0">
    <v>152</v>
    <v>5</v>
  </rv>
  <rv s="0">
    <v>153</v>
    <v>5</v>
  </rv>
  <rv s="0">
    <v>154</v>
    <v>5</v>
  </rv>
  <rv s="0">
    <v>155</v>
    <v>5</v>
  </rv>
  <rv s="0">
    <v>156</v>
    <v>5</v>
  </rv>
  <rv s="0">
    <v>157</v>
    <v>5</v>
  </rv>
  <rv s="0">
    <v>158</v>
    <v>5</v>
  </rv>
  <rv s="0">
    <v>159</v>
    <v>5</v>
  </rv>
  <rv s="0">
    <v>160</v>
    <v>5</v>
  </rv>
  <rv s="0">
    <v>161</v>
    <v>5</v>
  </rv>
  <rv s="0">
    <v>162</v>
    <v>5</v>
  </rv>
  <rv s="0">
    <v>163</v>
    <v>5</v>
  </rv>
  <rv s="0">
    <v>164</v>
    <v>5</v>
  </rv>
  <rv s="0">
    <v>165</v>
    <v>5</v>
  </rv>
  <rv s="0">
    <v>166</v>
    <v>5</v>
  </rv>
  <rv s="0">
    <v>167</v>
    <v>5</v>
  </rv>
  <rv s="0">
    <v>168</v>
    <v>5</v>
  </rv>
  <rv s="0">
    <v>169</v>
    <v>5</v>
  </rv>
  <rv s="0">
    <v>170</v>
    <v>5</v>
  </rv>
  <rv s="0">
    <v>171</v>
    <v>5</v>
  </rv>
  <rv s="1">
    <v>172</v>
    <v>5</v>
    <v>4</v>
  </rv>
  <rv s="0">
    <v>173</v>
    <v>5</v>
  </rv>
  <rv s="0">
    <v>174</v>
    <v>5</v>
  </rv>
  <rv s="0">
    <v>175</v>
    <v>5</v>
  </rv>
  <rv s="0">
    <v>176</v>
    <v>5</v>
  </rv>
  <rv s="0">
    <v>177</v>
    <v>5</v>
  </rv>
  <rv s="0">
    <v>178</v>
    <v>5</v>
  </rv>
  <rv s="0">
    <v>179</v>
    <v>5</v>
  </rv>
  <rv s="0">
    <v>180</v>
    <v>5</v>
  </rv>
  <rv s="0">
    <v>181</v>
    <v>5</v>
  </rv>
  <rv s="0">
    <v>182</v>
    <v>5</v>
  </rv>
  <rv s="0">
    <v>183</v>
    <v>5</v>
  </rv>
  <rv s="0">
    <v>184</v>
    <v>5</v>
  </rv>
  <rv s="0">
    <v>185</v>
    <v>5</v>
  </rv>
  <rv s="0">
    <v>186</v>
    <v>5</v>
  </rv>
  <rv s="0">
    <v>187</v>
    <v>5</v>
  </rv>
  <rv s="0">
    <v>188</v>
    <v>5</v>
  </rv>
  <rv s="0">
    <v>189</v>
    <v>5</v>
  </rv>
  <rv s="0">
    <v>190</v>
    <v>5</v>
  </rv>
  <rv s="0">
    <v>191</v>
    <v>5</v>
  </rv>
  <rv s="0">
    <v>192</v>
    <v>5</v>
  </rv>
  <rv s="0">
    <v>193</v>
    <v>5</v>
  </rv>
  <rv s="0">
    <v>194</v>
    <v>5</v>
  </rv>
  <rv s="0">
    <v>195</v>
    <v>5</v>
  </rv>
  <rv s="0">
    <v>196</v>
    <v>5</v>
  </rv>
  <rv s="0">
    <v>197</v>
    <v>5</v>
  </rv>
  <rv s="0">
    <v>198</v>
    <v>5</v>
  </rv>
  <rv s="0">
    <v>199</v>
    <v>5</v>
  </rv>
  <rv s="0">
    <v>200</v>
    <v>5</v>
  </rv>
  <rv s="0">
    <v>201</v>
    <v>5</v>
  </rv>
  <rv s="0">
    <v>202</v>
    <v>5</v>
  </rv>
  <rv s="0">
    <v>203</v>
    <v>5</v>
  </rv>
  <rv s="0">
    <v>204</v>
    <v>5</v>
  </rv>
  <rv s="0">
    <v>205</v>
    <v>5</v>
  </rv>
  <rv s="0">
    <v>206</v>
    <v>5</v>
  </rv>
  <rv s="0">
    <v>207</v>
    <v>5</v>
  </rv>
  <rv s="0">
    <v>208</v>
    <v>5</v>
  </rv>
  <rv s="0">
    <v>209</v>
    <v>5</v>
  </rv>
  <rv s="0">
    <v>210</v>
    <v>5</v>
  </rv>
  <rv s="0">
    <v>211</v>
    <v>5</v>
  </rv>
  <rv s="0">
    <v>212</v>
    <v>5</v>
  </rv>
  <rv s="0">
    <v>213</v>
    <v>5</v>
  </rv>
  <rv s="0">
    <v>214</v>
    <v>5</v>
  </rv>
  <rv s="0">
    <v>215</v>
    <v>5</v>
  </rv>
  <rv s="0">
    <v>216</v>
    <v>5</v>
  </rv>
  <rv s="0">
    <v>217</v>
    <v>5</v>
  </rv>
  <rv s="0">
    <v>218</v>
    <v>5</v>
  </rv>
  <rv s="0">
    <v>219</v>
    <v>5</v>
  </rv>
  <rv s="0">
    <v>220</v>
    <v>5</v>
  </rv>
  <rv s="0">
    <v>221</v>
    <v>5</v>
  </rv>
  <rv s="0">
    <v>222</v>
    <v>5</v>
  </rv>
  <rv s="0">
    <v>223</v>
    <v>5</v>
  </rv>
  <rv s="0">
    <v>224</v>
    <v>5</v>
  </rv>
  <rv s="0">
    <v>225</v>
    <v>5</v>
  </rv>
  <rv s="0">
    <v>226</v>
    <v>5</v>
  </rv>
  <rv s="0">
    <v>227</v>
    <v>5</v>
  </rv>
  <rv s="0">
    <v>228</v>
    <v>5</v>
  </rv>
  <rv s="0">
    <v>229</v>
    <v>5</v>
  </rv>
  <rv s="0">
    <v>230</v>
    <v>5</v>
  </rv>
  <rv s="0">
    <v>231</v>
    <v>5</v>
  </rv>
  <rv s="0">
    <v>232</v>
    <v>5</v>
  </rv>
  <rv s="0">
    <v>233</v>
    <v>5</v>
  </rv>
  <rv s="0">
    <v>234</v>
    <v>5</v>
  </rv>
  <rv s="0">
    <v>235</v>
    <v>5</v>
  </rv>
  <rv s="0">
    <v>236</v>
    <v>5</v>
  </rv>
  <rv s="0">
    <v>237</v>
    <v>5</v>
  </rv>
  <rv s="0">
    <v>238</v>
    <v>5</v>
  </rv>
  <rv s="0">
    <v>239</v>
    <v>5</v>
  </rv>
  <rv s="0">
    <v>240</v>
    <v>5</v>
  </rv>
  <rv s="0">
    <v>241</v>
    <v>5</v>
  </rv>
  <rv s="0">
    <v>242</v>
    <v>5</v>
  </rv>
  <rv s="0">
    <v>243</v>
    <v>5</v>
  </rv>
  <rv s="0">
    <v>244</v>
    <v>5</v>
  </rv>
  <rv s="0">
    <v>245</v>
    <v>5</v>
  </rv>
  <rv s="0">
    <v>246</v>
    <v>5</v>
  </rv>
  <rv s="0">
    <v>247</v>
    <v>5</v>
  </rv>
  <rv s="0">
    <v>248</v>
    <v>5</v>
  </rv>
  <rv s="0">
    <v>249</v>
    <v>5</v>
  </rv>
  <rv s="0">
    <v>250</v>
    <v>5</v>
  </rv>
  <rv s="0">
    <v>251</v>
    <v>5</v>
  </rv>
  <rv s="0">
    <v>252</v>
    <v>5</v>
  </rv>
  <rv s="0">
    <v>253</v>
    <v>5</v>
  </rv>
  <rv s="0">
    <v>254</v>
    <v>5</v>
  </rv>
  <rv s="0">
    <v>255</v>
    <v>5</v>
  </rv>
  <rv s="0">
    <v>256</v>
    <v>5</v>
  </rv>
  <rv s="0">
    <v>257</v>
    <v>5</v>
  </rv>
  <rv s="0">
    <v>258</v>
    <v>5</v>
  </rv>
  <rv s="0">
    <v>259</v>
    <v>5</v>
  </rv>
  <rv s="0">
    <v>260</v>
    <v>5</v>
  </rv>
  <rv s="0">
    <v>261</v>
    <v>5</v>
  </rv>
  <rv s="0">
    <v>262</v>
    <v>5</v>
  </rv>
  <rv s="0">
    <v>263</v>
    <v>5</v>
  </rv>
  <rv s="0">
    <v>264</v>
    <v>5</v>
  </rv>
  <rv s="0">
    <v>265</v>
    <v>5</v>
  </rv>
  <rv s="0">
    <v>266</v>
    <v>5</v>
  </rv>
  <rv s="0">
    <v>267</v>
    <v>5</v>
  </rv>
  <rv s="0">
    <v>268</v>
    <v>5</v>
  </rv>
  <rv s="0">
    <v>269</v>
    <v>5</v>
  </rv>
</rvData>
</file>

<file path=xl/richData/rdrichvaluestructure.xml><?xml version="1.0" encoding="utf-8"?>
<rvStructures xmlns="http://schemas.microsoft.com/office/spreadsheetml/2017/richdata" count="2">
  <s t="_localImage">
    <k n="_rvRel:LocalImageIdentifier" t="i"/>
    <k n="CalcOrigin" t="i"/>
  </s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  <rel r:id="rId78"/>
  <rel r:id="rId79"/>
  <rel r:id="rId80"/>
  <rel r:id="rId81"/>
  <rel r:id="rId82"/>
  <rel r:id="rId83"/>
  <rel r:id="rId84"/>
  <rel r:id="rId85"/>
  <rel r:id="rId86"/>
  <rel r:id="rId87"/>
  <rel r:id="rId88"/>
  <rel r:id="rId89"/>
  <rel r:id="rId90"/>
  <rel r:id="rId91"/>
  <rel r:id="rId92"/>
  <rel r:id="rId93"/>
  <rel r:id="rId94"/>
  <rel r:id="rId95"/>
  <rel r:id="rId96"/>
  <rel r:id="rId97"/>
  <rel r:id="rId98"/>
  <rel r:id="rId99"/>
  <rel r:id="rId100"/>
  <rel r:id="rId101"/>
  <rel r:id="rId102"/>
  <rel r:id="rId103"/>
  <rel r:id="rId104"/>
  <rel r:id="rId105"/>
  <rel r:id="rId106"/>
  <rel r:id="rId107"/>
  <rel r:id="rId108"/>
  <rel r:id="rId109"/>
  <rel r:id="rId110"/>
  <rel r:id="rId111"/>
  <rel r:id="rId112"/>
  <rel r:id="rId113"/>
  <rel r:id="rId114"/>
  <rel r:id="rId115"/>
  <rel r:id="rId116"/>
  <rel r:id="rId117"/>
  <rel r:id="rId118"/>
  <rel r:id="rId119"/>
  <rel r:id="rId120"/>
  <rel r:id="rId121"/>
  <rel r:id="rId122"/>
  <rel r:id="rId123"/>
  <rel r:id="rId124"/>
  <rel r:id="rId125"/>
  <rel r:id="rId126"/>
  <rel r:id="rId127"/>
  <rel r:id="rId128"/>
  <rel r:id="rId129"/>
  <rel r:id="rId130"/>
  <rel r:id="rId131"/>
  <rel r:id="rId132"/>
  <rel r:id="rId133"/>
  <rel r:id="rId134"/>
  <rel r:id="rId135"/>
  <rel r:id="rId136"/>
  <rel r:id="rId137"/>
  <rel r:id="rId138"/>
  <rel r:id="rId139"/>
  <rel r:id="rId140"/>
  <rel r:id="rId141"/>
  <rel r:id="rId142"/>
  <rel r:id="rId143"/>
  <rel r:id="rId144"/>
  <rel r:id="rId145"/>
  <rel r:id="rId146"/>
  <rel r:id="rId147"/>
  <rel r:id="rId148"/>
  <rel r:id="rId149"/>
  <rel r:id="rId150"/>
  <rel r:id="rId151"/>
  <rel r:id="rId152"/>
  <rel r:id="rId153"/>
  <rel r:id="rId154"/>
  <rel r:id="rId155"/>
  <rel r:id="rId156"/>
  <rel r:id="rId157"/>
  <rel r:id="rId158"/>
  <rel r:id="rId159"/>
  <rel r:id="rId160"/>
  <rel r:id="rId161"/>
  <rel r:id="rId162"/>
  <rel r:id="rId163"/>
  <rel r:id="rId164"/>
  <rel r:id="rId165"/>
  <rel r:id="rId166"/>
  <rel r:id="rId167"/>
  <rel r:id="rId168"/>
  <rel r:id="rId169"/>
  <rel r:id="rId170"/>
  <rel r:id="rId171"/>
  <rel r:id="rId172"/>
  <rel r:id="rId173"/>
  <rel r:id="rId174"/>
  <rel r:id="rId175"/>
  <rel r:id="rId176"/>
  <rel r:id="rId177"/>
  <rel r:id="rId178"/>
  <rel r:id="rId179"/>
  <rel r:id="rId180"/>
  <rel r:id="rId181"/>
  <rel r:id="rId182"/>
  <rel r:id="rId183"/>
  <rel r:id="rId184"/>
  <rel r:id="rId185"/>
  <rel r:id="rId186"/>
  <rel r:id="rId187"/>
  <rel r:id="rId188"/>
  <rel r:id="rId189"/>
  <rel r:id="rId190"/>
  <rel r:id="rId191"/>
  <rel r:id="rId192"/>
  <rel r:id="rId193"/>
  <rel r:id="rId194"/>
  <rel r:id="rId195"/>
  <rel r:id="rId196"/>
  <rel r:id="rId197"/>
  <rel r:id="rId198"/>
  <rel r:id="rId199"/>
  <rel r:id="rId200"/>
  <rel r:id="rId201"/>
  <rel r:id="rId202"/>
  <rel r:id="rId203"/>
  <rel r:id="rId204"/>
  <rel r:id="rId205"/>
  <rel r:id="rId206"/>
  <rel r:id="rId207"/>
  <rel r:id="rId208"/>
  <rel r:id="rId209"/>
  <rel r:id="rId210"/>
  <rel r:id="rId211"/>
  <rel r:id="rId212"/>
  <rel r:id="rId213"/>
  <rel r:id="rId214"/>
  <rel r:id="rId215"/>
  <rel r:id="rId216"/>
  <rel r:id="rId217"/>
  <rel r:id="rId218"/>
  <rel r:id="rId219"/>
  <rel r:id="rId220"/>
  <rel r:id="rId221"/>
  <rel r:id="rId222"/>
  <rel r:id="rId223"/>
  <rel r:id="rId224"/>
  <rel r:id="rId225"/>
  <rel r:id="rId226"/>
  <rel r:id="rId227"/>
  <rel r:id="rId228"/>
  <rel r:id="rId229"/>
  <rel r:id="rId230"/>
  <rel r:id="rId231"/>
  <rel r:id="rId232"/>
  <rel r:id="rId233"/>
  <rel r:id="rId234"/>
  <rel r:id="rId235"/>
  <rel r:id="rId236"/>
  <rel r:id="rId237"/>
  <rel r:id="rId238"/>
  <rel r:id="rId239"/>
  <rel r:id="rId240"/>
  <rel r:id="rId241"/>
  <rel r:id="rId242"/>
  <rel r:id="rId243"/>
  <rel r:id="rId244"/>
  <rel r:id="rId245"/>
  <rel r:id="rId246"/>
  <rel r:id="rId247"/>
  <rel r:id="rId248"/>
  <rel r:id="rId249"/>
  <rel r:id="rId250"/>
  <rel r:id="rId251"/>
  <rel r:id="rId252"/>
  <rel r:id="rId253"/>
  <rel r:id="rId254"/>
  <rel r:id="rId255"/>
  <rel r:id="rId256"/>
  <rel r:id="rId257"/>
  <rel r:id="rId258"/>
  <rel r:id="rId259"/>
  <rel r:id="rId260"/>
  <rel r:id="rId261"/>
  <rel r:id="rId262"/>
  <rel r:id="rId263"/>
  <rel r:id="rId264"/>
  <rel r:id="rId265"/>
  <rel r:id="rId266"/>
  <rel r:id="rId267"/>
  <rel r:id="rId268"/>
  <rel r:id="rId269"/>
  <rel r:id="rId270"/>
</richValueRel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40"/>
  <sheetViews>
    <sheetView showGridLines="0" workbookViewId="0">
      <pane ySplit="7" topLeftCell="A8" activePane="bottomLeft" state="frozen"/>
      <selection activeCell="C8" sqref="C8"/>
      <selection pane="bottomLeft" sqref="A1:H1"/>
    </sheetView>
  </sheetViews>
  <sheetFormatPr baseColWidth="10" defaultColWidth="8.83203125" defaultRowHeight="15" x14ac:dyDescent="0.2"/>
  <cols>
    <col min="1" max="1" width="28" customWidth="1"/>
    <col min="2" max="2" width="22" customWidth="1"/>
    <col min="3" max="3" width="28" customWidth="1"/>
    <col min="4" max="4" width="12" customWidth="1"/>
    <col min="5" max="5" width="55" customWidth="1"/>
    <col min="6" max="7" width="14" customWidth="1"/>
    <col min="8" max="8" width="12" customWidth="1"/>
  </cols>
  <sheetData>
    <row r="1" spans="1:8" ht="36" customHeight="1" x14ac:dyDescent="0.2">
      <c r="A1" s="99" t="s">
        <v>0</v>
      </c>
      <c r="B1" s="97"/>
      <c r="C1" s="97"/>
      <c r="D1" s="97"/>
      <c r="E1" s="97"/>
      <c r="F1" s="97"/>
      <c r="G1" s="97"/>
      <c r="H1" s="97"/>
    </row>
    <row r="2" spans="1:8" ht="28" customHeight="1" x14ac:dyDescent="0.2">
      <c r="A2" s="96" t="s">
        <v>1</v>
      </c>
      <c r="B2" s="97"/>
      <c r="C2" s="97"/>
      <c r="D2" s="97"/>
      <c r="E2" s="97"/>
      <c r="F2" s="97"/>
      <c r="G2" s="97"/>
      <c r="H2" s="97"/>
    </row>
    <row r="4" spans="1:8" ht="18" x14ac:dyDescent="0.2">
      <c r="A4" s="59" t="s">
        <v>2</v>
      </c>
      <c r="C4" s="60">
        <f>COUNTIF(_Datos!H2:H1234,"&gt;0")</f>
        <v>0</v>
      </c>
      <c r="E4" s="59" t="s">
        <v>3</v>
      </c>
      <c r="F4" s="61">
        <f ca="1">TODAY()</f>
        <v>46147</v>
      </c>
    </row>
    <row r="5" spans="1:8" ht="18" x14ac:dyDescent="0.2">
      <c r="A5" s="59" t="s">
        <v>4</v>
      </c>
      <c r="C5" s="60">
        <f>SUM(_Datos!H2:H1234)</f>
        <v>0</v>
      </c>
    </row>
    <row r="6" spans="1:8" ht="22" customHeight="1" x14ac:dyDescent="0.2">
      <c r="A6" s="98" t="s">
        <v>5</v>
      </c>
      <c r="B6" s="97"/>
      <c r="C6" s="97"/>
      <c r="D6" s="97"/>
      <c r="E6" s="97"/>
      <c r="F6" s="97"/>
      <c r="G6" s="97"/>
      <c r="H6" s="97"/>
    </row>
    <row r="7" spans="1:8" ht="32" customHeight="1" x14ac:dyDescent="0.2">
      <c r="A7" s="62" t="s">
        <v>6</v>
      </c>
      <c r="B7" s="62" t="s">
        <v>7</v>
      </c>
      <c r="C7" s="62" t="s">
        <v>8</v>
      </c>
      <c r="D7" s="62" t="s">
        <v>9</v>
      </c>
      <c r="E7" s="62" t="s">
        <v>10</v>
      </c>
      <c r="F7" s="62" t="s">
        <v>11</v>
      </c>
      <c r="G7" s="62" t="s">
        <v>12</v>
      </c>
      <c r="H7" s="62" t="s">
        <v>13</v>
      </c>
    </row>
    <row r="8" spans="1:8" x14ac:dyDescent="0.2">
      <c r="A8" s="63" t="str">
        <f>IFERROR(INDEX(_Datos!A:A,MATCH(1,_Datos!$I:$I,0)),"")</f>
        <v/>
      </c>
      <c r="B8" s="63" t="str">
        <f>IFERROR(INDEX(_Datos!B:B,MATCH(1,_Datos!$I:$I,0)),"")</f>
        <v/>
      </c>
      <c r="C8" s="63" t="str">
        <f>IFERROR(INDEX(_Datos!C:C,MATCH(1,_Datos!$I:$I,0)),"")</f>
        <v/>
      </c>
      <c r="D8" s="64" t="str">
        <f>IFERROR(INDEX(_Datos!D:D,MATCH(1,_Datos!$I:$I,0)),"")</f>
        <v/>
      </c>
      <c r="E8" s="65" t="str">
        <f>IFERROR(INDEX(_Datos!E:E,MATCH(1,_Datos!$I:$I,0)),"")</f>
        <v/>
      </c>
      <c r="F8" s="63" t="str">
        <f>IFERROR(INDEX(_Datos!F:F,MATCH(1,_Datos!$I:$I,0)),"")</f>
        <v/>
      </c>
      <c r="G8" s="63" t="str">
        <f>IFERROR(INDEX(_Datos!G:G,MATCH(1,_Datos!$I:$I,0)),"")</f>
        <v/>
      </c>
      <c r="H8" s="66" t="str">
        <f>IFERROR(INDEX(_Datos!H:H,MATCH(1,_Datos!$I:$I,0)),"")</f>
        <v/>
      </c>
    </row>
    <row r="9" spans="1:8" x14ac:dyDescent="0.2">
      <c r="A9" s="67" t="str">
        <f>IFERROR(INDEX(_Datos!A:A,MATCH(2,_Datos!$I:$I,0)),"")</f>
        <v/>
      </c>
      <c r="B9" s="67" t="str">
        <f>IFERROR(INDEX(_Datos!B:B,MATCH(2,_Datos!$I:$I,0)),"")</f>
        <v/>
      </c>
      <c r="C9" s="67" t="str">
        <f>IFERROR(INDEX(_Datos!C:C,MATCH(2,_Datos!$I:$I,0)),"")</f>
        <v/>
      </c>
      <c r="D9" s="68" t="str">
        <f>IFERROR(INDEX(_Datos!D:D,MATCH(2,_Datos!$I:$I,0)),"")</f>
        <v/>
      </c>
      <c r="E9" s="69" t="str">
        <f>IFERROR(INDEX(_Datos!E:E,MATCH(2,_Datos!$I:$I,0)),"")</f>
        <v/>
      </c>
      <c r="F9" s="67" t="str">
        <f>IFERROR(INDEX(_Datos!F:F,MATCH(2,_Datos!$I:$I,0)),"")</f>
        <v/>
      </c>
      <c r="G9" s="67" t="str">
        <f>IFERROR(INDEX(_Datos!G:G,MATCH(2,_Datos!$I:$I,0)),"")</f>
        <v/>
      </c>
      <c r="H9" s="70" t="str">
        <f>IFERROR(INDEX(_Datos!H:H,MATCH(2,_Datos!$I:$I,0)),"")</f>
        <v/>
      </c>
    </row>
    <row r="10" spans="1:8" x14ac:dyDescent="0.2">
      <c r="A10" s="63" t="str">
        <f>IFERROR(INDEX(_Datos!A:A,MATCH(3,_Datos!$I:$I,0)),"")</f>
        <v/>
      </c>
      <c r="B10" s="63" t="str">
        <f>IFERROR(INDEX(_Datos!B:B,MATCH(3,_Datos!$I:$I,0)),"")</f>
        <v/>
      </c>
      <c r="C10" s="63" t="str">
        <f>IFERROR(INDEX(_Datos!C:C,MATCH(3,_Datos!$I:$I,0)),"")</f>
        <v/>
      </c>
      <c r="D10" s="64" t="str">
        <f>IFERROR(INDEX(_Datos!D:D,MATCH(3,_Datos!$I:$I,0)),"")</f>
        <v/>
      </c>
      <c r="E10" s="65" t="str">
        <f>IFERROR(INDEX(_Datos!E:E,MATCH(3,_Datos!$I:$I,0)),"")</f>
        <v/>
      </c>
      <c r="F10" s="63" t="str">
        <f>IFERROR(INDEX(_Datos!F:F,MATCH(3,_Datos!$I:$I,0)),"")</f>
        <v/>
      </c>
      <c r="G10" s="63" t="str">
        <f>IFERROR(INDEX(_Datos!G:G,MATCH(3,_Datos!$I:$I,0)),"")</f>
        <v/>
      </c>
      <c r="H10" s="66" t="str">
        <f>IFERROR(INDEX(_Datos!H:H,MATCH(3,_Datos!$I:$I,0)),"")</f>
        <v/>
      </c>
    </row>
    <row r="11" spans="1:8" x14ac:dyDescent="0.2">
      <c r="A11" s="67" t="str">
        <f>IFERROR(INDEX(_Datos!A:A,MATCH(4,_Datos!$I:$I,0)),"")</f>
        <v/>
      </c>
      <c r="B11" s="67" t="str">
        <f>IFERROR(INDEX(_Datos!B:B,MATCH(4,_Datos!$I:$I,0)),"")</f>
        <v/>
      </c>
      <c r="C11" s="67" t="str">
        <f>IFERROR(INDEX(_Datos!C:C,MATCH(4,_Datos!$I:$I,0)),"")</f>
        <v/>
      </c>
      <c r="D11" s="68" t="str">
        <f>IFERROR(INDEX(_Datos!D:D,MATCH(4,_Datos!$I:$I,0)),"")</f>
        <v/>
      </c>
      <c r="E11" s="69" t="str">
        <f>IFERROR(INDEX(_Datos!E:E,MATCH(4,_Datos!$I:$I,0)),"")</f>
        <v/>
      </c>
      <c r="F11" s="67" t="str">
        <f>IFERROR(INDEX(_Datos!F:F,MATCH(4,_Datos!$I:$I,0)),"")</f>
        <v/>
      </c>
      <c r="G11" s="67" t="str">
        <f>IFERROR(INDEX(_Datos!G:G,MATCH(4,_Datos!$I:$I,0)),"")</f>
        <v/>
      </c>
      <c r="H11" s="70" t="str">
        <f>IFERROR(INDEX(_Datos!H:H,MATCH(4,_Datos!$I:$I,0)),"")</f>
        <v/>
      </c>
    </row>
    <row r="12" spans="1:8" x14ac:dyDescent="0.2">
      <c r="A12" s="63" t="str">
        <f>IFERROR(INDEX(_Datos!A:A,MATCH(5,_Datos!$I:$I,0)),"")</f>
        <v/>
      </c>
      <c r="B12" s="63" t="str">
        <f>IFERROR(INDEX(_Datos!B:B,MATCH(5,_Datos!$I:$I,0)),"")</f>
        <v/>
      </c>
      <c r="C12" s="63" t="str">
        <f>IFERROR(INDEX(_Datos!C:C,MATCH(5,_Datos!$I:$I,0)),"")</f>
        <v/>
      </c>
      <c r="D12" s="64" t="str">
        <f>IFERROR(INDEX(_Datos!D:D,MATCH(5,_Datos!$I:$I,0)),"")</f>
        <v/>
      </c>
      <c r="E12" s="65" t="str">
        <f>IFERROR(INDEX(_Datos!E:E,MATCH(5,_Datos!$I:$I,0)),"")</f>
        <v/>
      </c>
      <c r="F12" s="63" t="str">
        <f>IFERROR(INDEX(_Datos!F:F,MATCH(5,_Datos!$I:$I,0)),"")</f>
        <v/>
      </c>
      <c r="G12" s="63" t="str">
        <f>IFERROR(INDEX(_Datos!G:G,MATCH(5,_Datos!$I:$I,0)),"")</f>
        <v/>
      </c>
      <c r="H12" s="66" t="str">
        <f>IFERROR(INDEX(_Datos!H:H,MATCH(5,_Datos!$I:$I,0)),"")</f>
        <v/>
      </c>
    </row>
    <row r="13" spans="1:8" x14ac:dyDescent="0.2">
      <c r="A13" s="67" t="str">
        <f>IFERROR(INDEX(_Datos!A:A,MATCH(6,_Datos!$I:$I,0)),"")</f>
        <v/>
      </c>
      <c r="B13" s="67" t="str">
        <f>IFERROR(INDEX(_Datos!B:B,MATCH(6,_Datos!$I:$I,0)),"")</f>
        <v/>
      </c>
      <c r="C13" s="67" t="str">
        <f>IFERROR(INDEX(_Datos!C:C,MATCH(6,_Datos!$I:$I,0)),"")</f>
        <v/>
      </c>
      <c r="D13" s="68" t="str">
        <f>IFERROR(INDEX(_Datos!D:D,MATCH(6,_Datos!$I:$I,0)),"")</f>
        <v/>
      </c>
      <c r="E13" s="69" t="str">
        <f>IFERROR(INDEX(_Datos!E:E,MATCH(6,_Datos!$I:$I,0)),"")</f>
        <v/>
      </c>
      <c r="F13" s="67" t="str">
        <f>IFERROR(INDEX(_Datos!F:F,MATCH(6,_Datos!$I:$I,0)),"")</f>
        <v/>
      </c>
      <c r="G13" s="67" t="str">
        <f>IFERROR(INDEX(_Datos!G:G,MATCH(6,_Datos!$I:$I,0)),"")</f>
        <v/>
      </c>
      <c r="H13" s="70" t="str">
        <f>IFERROR(INDEX(_Datos!H:H,MATCH(6,_Datos!$I:$I,0)),"")</f>
        <v/>
      </c>
    </row>
    <row r="14" spans="1:8" x14ac:dyDescent="0.2">
      <c r="A14" s="63" t="str">
        <f>IFERROR(INDEX(_Datos!A:A,MATCH(7,_Datos!$I:$I,0)),"")</f>
        <v/>
      </c>
      <c r="B14" s="63" t="str">
        <f>IFERROR(INDEX(_Datos!B:B,MATCH(7,_Datos!$I:$I,0)),"")</f>
        <v/>
      </c>
      <c r="C14" s="63" t="str">
        <f>IFERROR(INDEX(_Datos!C:C,MATCH(7,_Datos!$I:$I,0)),"")</f>
        <v/>
      </c>
      <c r="D14" s="64" t="str">
        <f>IFERROR(INDEX(_Datos!D:D,MATCH(7,_Datos!$I:$I,0)),"")</f>
        <v/>
      </c>
      <c r="E14" s="65" t="str">
        <f>IFERROR(INDEX(_Datos!E:E,MATCH(7,_Datos!$I:$I,0)),"")</f>
        <v/>
      </c>
      <c r="F14" s="63" t="str">
        <f>IFERROR(INDEX(_Datos!F:F,MATCH(7,_Datos!$I:$I,0)),"")</f>
        <v/>
      </c>
      <c r="G14" s="63" t="str">
        <f>IFERROR(INDEX(_Datos!G:G,MATCH(7,_Datos!$I:$I,0)),"")</f>
        <v/>
      </c>
      <c r="H14" s="66" t="str">
        <f>IFERROR(INDEX(_Datos!H:H,MATCH(7,_Datos!$I:$I,0)),"")</f>
        <v/>
      </c>
    </row>
    <row r="15" spans="1:8" x14ac:dyDescent="0.2">
      <c r="A15" s="67" t="str">
        <f>IFERROR(INDEX(_Datos!A:A,MATCH(8,_Datos!$I:$I,0)),"")</f>
        <v/>
      </c>
      <c r="B15" s="67" t="str">
        <f>IFERROR(INDEX(_Datos!B:B,MATCH(8,_Datos!$I:$I,0)),"")</f>
        <v/>
      </c>
      <c r="C15" s="67" t="str">
        <f>IFERROR(INDEX(_Datos!C:C,MATCH(8,_Datos!$I:$I,0)),"")</f>
        <v/>
      </c>
      <c r="D15" s="68" t="str">
        <f>IFERROR(INDEX(_Datos!D:D,MATCH(8,_Datos!$I:$I,0)),"")</f>
        <v/>
      </c>
      <c r="E15" s="69" t="str">
        <f>IFERROR(INDEX(_Datos!E:E,MATCH(8,_Datos!$I:$I,0)),"")</f>
        <v/>
      </c>
      <c r="F15" s="67" t="str">
        <f>IFERROR(INDEX(_Datos!F:F,MATCH(8,_Datos!$I:$I,0)),"")</f>
        <v/>
      </c>
      <c r="G15" s="67" t="str">
        <f>IFERROR(INDEX(_Datos!G:G,MATCH(8,_Datos!$I:$I,0)),"")</f>
        <v/>
      </c>
      <c r="H15" s="70" t="str">
        <f>IFERROR(INDEX(_Datos!H:H,MATCH(8,_Datos!$I:$I,0)),"")</f>
        <v/>
      </c>
    </row>
    <row r="16" spans="1:8" x14ac:dyDescent="0.2">
      <c r="A16" s="63" t="str">
        <f>IFERROR(INDEX(_Datos!A:A,MATCH(9,_Datos!$I:$I,0)),"")</f>
        <v/>
      </c>
      <c r="B16" s="63" t="str">
        <f>IFERROR(INDEX(_Datos!B:B,MATCH(9,_Datos!$I:$I,0)),"")</f>
        <v/>
      </c>
      <c r="C16" s="63" t="str">
        <f>IFERROR(INDEX(_Datos!C:C,MATCH(9,_Datos!$I:$I,0)),"")</f>
        <v/>
      </c>
      <c r="D16" s="64" t="str">
        <f>IFERROR(INDEX(_Datos!D:D,MATCH(9,_Datos!$I:$I,0)),"")</f>
        <v/>
      </c>
      <c r="E16" s="65" t="str">
        <f>IFERROR(INDEX(_Datos!E:E,MATCH(9,_Datos!$I:$I,0)),"")</f>
        <v/>
      </c>
      <c r="F16" s="63" t="str">
        <f>IFERROR(INDEX(_Datos!F:F,MATCH(9,_Datos!$I:$I,0)),"")</f>
        <v/>
      </c>
      <c r="G16" s="63" t="str">
        <f>IFERROR(INDEX(_Datos!G:G,MATCH(9,_Datos!$I:$I,0)),"")</f>
        <v/>
      </c>
      <c r="H16" s="66" t="str">
        <f>IFERROR(INDEX(_Datos!H:H,MATCH(9,_Datos!$I:$I,0)),"")</f>
        <v/>
      </c>
    </row>
    <row r="17" spans="1:8" x14ac:dyDescent="0.2">
      <c r="A17" s="67" t="str">
        <f>IFERROR(INDEX(_Datos!A:A,MATCH(10,_Datos!$I:$I,0)),"")</f>
        <v/>
      </c>
      <c r="B17" s="67" t="str">
        <f>IFERROR(INDEX(_Datos!B:B,MATCH(10,_Datos!$I:$I,0)),"")</f>
        <v/>
      </c>
      <c r="C17" s="67" t="str">
        <f>IFERROR(INDEX(_Datos!C:C,MATCH(10,_Datos!$I:$I,0)),"")</f>
        <v/>
      </c>
      <c r="D17" s="68" t="str">
        <f>IFERROR(INDEX(_Datos!D:D,MATCH(10,_Datos!$I:$I,0)),"")</f>
        <v/>
      </c>
      <c r="E17" s="69" t="str">
        <f>IFERROR(INDEX(_Datos!E:E,MATCH(10,_Datos!$I:$I,0)),"")</f>
        <v/>
      </c>
      <c r="F17" s="67" t="str">
        <f>IFERROR(INDEX(_Datos!F:F,MATCH(10,_Datos!$I:$I,0)),"")</f>
        <v/>
      </c>
      <c r="G17" s="67" t="str">
        <f>IFERROR(INDEX(_Datos!G:G,MATCH(10,_Datos!$I:$I,0)),"")</f>
        <v/>
      </c>
      <c r="H17" s="70" t="str">
        <f>IFERROR(INDEX(_Datos!H:H,MATCH(10,_Datos!$I:$I,0)),"")</f>
        <v/>
      </c>
    </row>
    <row r="18" spans="1:8" x14ac:dyDescent="0.2">
      <c r="A18" s="63" t="str">
        <f>IFERROR(INDEX(_Datos!A:A,MATCH(11,_Datos!$I:$I,0)),"")</f>
        <v/>
      </c>
      <c r="B18" s="63" t="str">
        <f>IFERROR(INDEX(_Datos!B:B,MATCH(11,_Datos!$I:$I,0)),"")</f>
        <v/>
      </c>
      <c r="C18" s="63" t="str">
        <f>IFERROR(INDEX(_Datos!C:C,MATCH(11,_Datos!$I:$I,0)),"")</f>
        <v/>
      </c>
      <c r="D18" s="64" t="str">
        <f>IFERROR(INDEX(_Datos!D:D,MATCH(11,_Datos!$I:$I,0)),"")</f>
        <v/>
      </c>
      <c r="E18" s="65" t="str">
        <f>IFERROR(INDEX(_Datos!E:E,MATCH(11,_Datos!$I:$I,0)),"")</f>
        <v/>
      </c>
      <c r="F18" s="63" t="str">
        <f>IFERROR(INDEX(_Datos!F:F,MATCH(11,_Datos!$I:$I,0)),"")</f>
        <v/>
      </c>
      <c r="G18" s="63" t="str">
        <f>IFERROR(INDEX(_Datos!G:G,MATCH(11,_Datos!$I:$I,0)),"")</f>
        <v/>
      </c>
      <c r="H18" s="66" t="str">
        <f>IFERROR(INDEX(_Datos!H:H,MATCH(11,_Datos!$I:$I,0)),"")</f>
        <v/>
      </c>
    </row>
    <row r="19" spans="1:8" x14ac:dyDescent="0.2">
      <c r="A19" s="67" t="str">
        <f>IFERROR(INDEX(_Datos!A:A,MATCH(12,_Datos!$I:$I,0)),"")</f>
        <v/>
      </c>
      <c r="B19" s="67" t="str">
        <f>IFERROR(INDEX(_Datos!B:B,MATCH(12,_Datos!$I:$I,0)),"")</f>
        <v/>
      </c>
      <c r="C19" s="67" t="str">
        <f>IFERROR(INDEX(_Datos!C:C,MATCH(12,_Datos!$I:$I,0)),"")</f>
        <v/>
      </c>
      <c r="D19" s="68" t="str">
        <f>IFERROR(INDEX(_Datos!D:D,MATCH(12,_Datos!$I:$I,0)),"")</f>
        <v/>
      </c>
      <c r="E19" s="69" t="str">
        <f>IFERROR(INDEX(_Datos!E:E,MATCH(12,_Datos!$I:$I,0)),"")</f>
        <v/>
      </c>
      <c r="F19" s="67" t="str">
        <f>IFERROR(INDEX(_Datos!F:F,MATCH(12,_Datos!$I:$I,0)),"")</f>
        <v/>
      </c>
      <c r="G19" s="67" t="str">
        <f>IFERROR(INDEX(_Datos!G:G,MATCH(12,_Datos!$I:$I,0)),"")</f>
        <v/>
      </c>
      <c r="H19" s="70" t="str">
        <f>IFERROR(INDEX(_Datos!H:H,MATCH(12,_Datos!$I:$I,0)),"")</f>
        <v/>
      </c>
    </row>
    <row r="20" spans="1:8" x14ac:dyDescent="0.2">
      <c r="A20" s="63" t="str">
        <f>IFERROR(INDEX(_Datos!A:A,MATCH(13,_Datos!$I:$I,0)),"")</f>
        <v/>
      </c>
      <c r="B20" s="63" t="str">
        <f>IFERROR(INDEX(_Datos!B:B,MATCH(13,_Datos!$I:$I,0)),"")</f>
        <v/>
      </c>
      <c r="C20" s="63" t="str">
        <f>IFERROR(INDEX(_Datos!C:C,MATCH(13,_Datos!$I:$I,0)),"")</f>
        <v/>
      </c>
      <c r="D20" s="64" t="str">
        <f>IFERROR(INDEX(_Datos!D:D,MATCH(13,_Datos!$I:$I,0)),"")</f>
        <v/>
      </c>
      <c r="E20" s="65" t="str">
        <f>IFERROR(INDEX(_Datos!E:E,MATCH(13,_Datos!$I:$I,0)),"")</f>
        <v/>
      </c>
      <c r="F20" s="63" t="str">
        <f>IFERROR(INDEX(_Datos!F:F,MATCH(13,_Datos!$I:$I,0)),"")</f>
        <v/>
      </c>
      <c r="G20" s="63" t="str">
        <f>IFERROR(INDEX(_Datos!G:G,MATCH(13,_Datos!$I:$I,0)),"")</f>
        <v/>
      </c>
      <c r="H20" s="66" t="str">
        <f>IFERROR(INDEX(_Datos!H:H,MATCH(13,_Datos!$I:$I,0)),"")</f>
        <v/>
      </c>
    </row>
    <row r="21" spans="1:8" x14ac:dyDescent="0.2">
      <c r="A21" s="67" t="str">
        <f>IFERROR(INDEX(_Datos!A:A,MATCH(14,_Datos!$I:$I,0)),"")</f>
        <v/>
      </c>
      <c r="B21" s="67" t="str">
        <f>IFERROR(INDEX(_Datos!B:B,MATCH(14,_Datos!$I:$I,0)),"")</f>
        <v/>
      </c>
      <c r="C21" s="67" t="str">
        <f>IFERROR(INDEX(_Datos!C:C,MATCH(14,_Datos!$I:$I,0)),"")</f>
        <v/>
      </c>
      <c r="D21" s="68" t="str">
        <f>IFERROR(INDEX(_Datos!D:D,MATCH(14,_Datos!$I:$I,0)),"")</f>
        <v/>
      </c>
      <c r="E21" s="69" t="str">
        <f>IFERROR(INDEX(_Datos!E:E,MATCH(14,_Datos!$I:$I,0)),"")</f>
        <v/>
      </c>
      <c r="F21" s="67" t="str">
        <f>IFERROR(INDEX(_Datos!F:F,MATCH(14,_Datos!$I:$I,0)),"")</f>
        <v/>
      </c>
      <c r="G21" s="67" t="str">
        <f>IFERROR(INDEX(_Datos!G:G,MATCH(14,_Datos!$I:$I,0)),"")</f>
        <v/>
      </c>
      <c r="H21" s="70" t="str">
        <f>IFERROR(INDEX(_Datos!H:H,MATCH(14,_Datos!$I:$I,0)),"")</f>
        <v/>
      </c>
    </row>
    <row r="22" spans="1:8" x14ac:dyDescent="0.2">
      <c r="A22" s="63" t="str">
        <f>IFERROR(INDEX(_Datos!A:A,MATCH(15,_Datos!$I:$I,0)),"")</f>
        <v/>
      </c>
      <c r="B22" s="63" t="str">
        <f>IFERROR(INDEX(_Datos!B:B,MATCH(15,_Datos!$I:$I,0)),"")</f>
        <v/>
      </c>
      <c r="C22" s="63" t="str">
        <f>IFERROR(INDEX(_Datos!C:C,MATCH(15,_Datos!$I:$I,0)),"")</f>
        <v/>
      </c>
      <c r="D22" s="64" t="str">
        <f>IFERROR(INDEX(_Datos!D:D,MATCH(15,_Datos!$I:$I,0)),"")</f>
        <v/>
      </c>
      <c r="E22" s="65" t="str">
        <f>IFERROR(INDEX(_Datos!E:E,MATCH(15,_Datos!$I:$I,0)),"")</f>
        <v/>
      </c>
      <c r="F22" s="63" t="str">
        <f>IFERROR(INDEX(_Datos!F:F,MATCH(15,_Datos!$I:$I,0)),"")</f>
        <v/>
      </c>
      <c r="G22" s="63" t="str">
        <f>IFERROR(INDEX(_Datos!G:G,MATCH(15,_Datos!$I:$I,0)),"")</f>
        <v/>
      </c>
      <c r="H22" s="66" t="str">
        <f>IFERROR(INDEX(_Datos!H:H,MATCH(15,_Datos!$I:$I,0)),"")</f>
        <v/>
      </c>
    </row>
    <row r="23" spans="1:8" x14ac:dyDescent="0.2">
      <c r="A23" s="67" t="str">
        <f>IFERROR(INDEX(_Datos!A:A,MATCH(16,_Datos!$I:$I,0)),"")</f>
        <v/>
      </c>
      <c r="B23" s="67" t="str">
        <f>IFERROR(INDEX(_Datos!B:B,MATCH(16,_Datos!$I:$I,0)),"")</f>
        <v/>
      </c>
      <c r="C23" s="67" t="str">
        <f>IFERROR(INDEX(_Datos!C:C,MATCH(16,_Datos!$I:$I,0)),"")</f>
        <v/>
      </c>
      <c r="D23" s="68" t="str">
        <f>IFERROR(INDEX(_Datos!D:D,MATCH(16,_Datos!$I:$I,0)),"")</f>
        <v/>
      </c>
      <c r="E23" s="69" t="str">
        <f>IFERROR(INDEX(_Datos!E:E,MATCH(16,_Datos!$I:$I,0)),"")</f>
        <v/>
      </c>
      <c r="F23" s="67" t="str">
        <f>IFERROR(INDEX(_Datos!F:F,MATCH(16,_Datos!$I:$I,0)),"")</f>
        <v/>
      </c>
      <c r="G23" s="67" t="str">
        <f>IFERROR(INDEX(_Datos!G:G,MATCH(16,_Datos!$I:$I,0)),"")</f>
        <v/>
      </c>
      <c r="H23" s="70" t="str">
        <f>IFERROR(INDEX(_Datos!H:H,MATCH(16,_Datos!$I:$I,0)),"")</f>
        <v/>
      </c>
    </row>
    <row r="24" spans="1:8" x14ac:dyDescent="0.2">
      <c r="A24" s="63" t="str">
        <f>IFERROR(INDEX(_Datos!A:A,MATCH(17,_Datos!$I:$I,0)),"")</f>
        <v/>
      </c>
      <c r="B24" s="63" t="str">
        <f>IFERROR(INDEX(_Datos!B:B,MATCH(17,_Datos!$I:$I,0)),"")</f>
        <v/>
      </c>
      <c r="C24" s="63" t="str">
        <f>IFERROR(INDEX(_Datos!C:C,MATCH(17,_Datos!$I:$I,0)),"")</f>
        <v/>
      </c>
      <c r="D24" s="64" t="str">
        <f>IFERROR(INDEX(_Datos!D:D,MATCH(17,_Datos!$I:$I,0)),"")</f>
        <v/>
      </c>
      <c r="E24" s="65" t="str">
        <f>IFERROR(INDEX(_Datos!E:E,MATCH(17,_Datos!$I:$I,0)),"")</f>
        <v/>
      </c>
      <c r="F24" s="63" t="str">
        <f>IFERROR(INDEX(_Datos!F:F,MATCH(17,_Datos!$I:$I,0)),"")</f>
        <v/>
      </c>
      <c r="G24" s="63" t="str">
        <f>IFERROR(INDEX(_Datos!G:G,MATCH(17,_Datos!$I:$I,0)),"")</f>
        <v/>
      </c>
      <c r="H24" s="66" t="str">
        <f>IFERROR(INDEX(_Datos!H:H,MATCH(17,_Datos!$I:$I,0)),"")</f>
        <v/>
      </c>
    </row>
    <row r="25" spans="1:8" x14ac:dyDescent="0.2">
      <c r="A25" s="67" t="str">
        <f>IFERROR(INDEX(_Datos!A:A,MATCH(18,_Datos!$I:$I,0)),"")</f>
        <v/>
      </c>
      <c r="B25" s="67" t="str">
        <f>IFERROR(INDEX(_Datos!B:B,MATCH(18,_Datos!$I:$I,0)),"")</f>
        <v/>
      </c>
      <c r="C25" s="67" t="str">
        <f>IFERROR(INDEX(_Datos!C:C,MATCH(18,_Datos!$I:$I,0)),"")</f>
        <v/>
      </c>
      <c r="D25" s="68" t="str">
        <f>IFERROR(INDEX(_Datos!D:D,MATCH(18,_Datos!$I:$I,0)),"")</f>
        <v/>
      </c>
      <c r="E25" s="69" t="str">
        <f>IFERROR(INDEX(_Datos!E:E,MATCH(18,_Datos!$I:$I,0)),"")</f>
        <v/>
      </c>
      <c r="F25" s="67" t="str">
        <f>IFERROR(INDEX(_Datos!F:F,MATCH(18,_Datos!$I:$I,0)),"")</f>
        <v/>
      </c>
      <c r="G25" s="67" t="str">
        <f>IFERROR(INDEX(_Datos!G:G,MATCH(18,_Datos!$I:$I,0)),"")</f>
        <v/>
      </c>
      <c r="H25" s="70" t="str">
        <f>IFERROR(INDEX(_Datos!H:H,MATCH(18,_Datos!$I:$I,0)),"")</f>
        <v/>
      </c>
    </row>
    <row r="26" spans="1:8" x14ac:dyDescent="0.2">
      <c r="A26" s="63" t="str">
        <f>IFERROR(INDEX(_Datos!A:A,MATCH(19,_Datos!$I:$I,0)),"")</f>
        <v/>
      </c>
      <c r="B26" s="63" t="str">
        <f>IFERROR(INDEX(_Datos!B:B,MATCH(19,_Datos!$I:$I,0)),"")</f>
        <v/>
      </c>
      <c r="C26" s="63" t="str">
        <f>IFERROR(INDEX(_Datos!C:C,MATCH(19,_Datos!$I:$I,0)),"")</f>
        <v/>
      </c>
      <c r="D26" s="64" t="str">
        <f>IFERROR(INDEX(_Datos!D:D,MATCH(19,_Datos!$I:$I,0)),"")</f>
        <v/>
      </c>
      <c r="E26" s="65" t="str">
        <f>IFERROR(INDEX(_Datos!E:E,MATCH(19,_Datos!$I:$I,0)),"")</f>
        <v/>
      </c>
      <c r="F26" s="63" t="str">
        <f>IFERROR(INDEX(_Datos!F:F,MATCH(19,_Datos!$I:$I,0)),"")</f>
        <v/>
      </c>
      <c r="G26" s="63" t="str">
        <f>IFERROR(INDEX(_Datos!G:G,MATCH(19,_Datos!$I:$I,0)),"")</f>
        <v/>
      </c>
      <c r="H26" s="66" t="str">
        <f>IFERROR(INDEX(_Datos!H:H,MATCH(19,_Datos!$I:$I,0)),"")</f>
        <v/>
      </c>
    </row>
    <row r="27" spans="1:8" x14ac:dyDescent="0.2">
      <c r="A27" s="67" t="str">
        <f>IFERROR(INDEX(_Datos!A:A,MATCH(20,_Datos!$I:$I,0)),"")</f>
        <v/>
      </c>
      <c r="B27" s="67" t="str">
        <f>IFERROR(INDEX(_Datos!B:B,MATCH(20,_Datos!$I:$I,0)),"")</f>
        <v/>
      </c>
      <c r="C27" s="67" t="str">
        <f>IFERROR(INDEX(_Datos!C:C,MATCH(20,_Datos!$I:$I,0)),"")</f>
        <v/>
      </c>
      <c r="D27" s="68" t="str">
        <f>IFERROR(INDEX(_Datos!D:D,MATCH(20,_Datos!$I:$I,0)),"")</f>
        <v/>
      </c>
      <c r="E27" s="69" t="str">
        <f>IFERROR(INDEX(_Datos!E:E,MATCH(20,_Datos!$I:$I,0)),"")</f>
        <v/>
      </c>
      <c r="F27" s="67" t="str">
        <f>IFERROR(INDEX(_Datos!F:F,MATCH(20,_Datos!$I:$I,0)),"")</f>
        <v/>
      </c>
      <c r="G27" s="67" t="str">
        <f>IFERROR(INDEX(_Datos!G:G,MATCH(20,_Datos!$I:$I,0)),"")</f>
        <v/>
      </c>
      <c r="H27" s="70" t="str">
        <f>IFERROR(INDEX(_Datos!H:H,MATCH(20,_Datos!$I:$I,0)),"")</f>
        <v/>
      </c>
    </row>
    <row r="28" spans="1:8" x14ac:dyDescent="0.2">
      <c r="A28" s="63" t="str">
        <f>IFERROR(INDEX(_Datos!A:A,MATCH(21,_Datos!$I:$I,0)),"")</f>
        <v/>
      </c>
      <c r="B28" s="63" t="str">
        <f>IFERROR(INDEX(_Datos!B:B,MATCH(21,_Datos!$I:$I,0)),"")</f>
        <v/>
      </c>
      <c r="C28" s="63" t="str">
        <f>IFERROR(INDEX(_Datos!C:C,MATCH(21,_Datos!$I:$I,0)),"")</f>
        <v/>
      </c>
      <c r="D28" s="64" t="str">
        <f>IFERROR(INDEX(_Datos!D:D,MATCH(21,_Datos!$I:$I,0)),"")</f>
        <v/>
      </c>
      <c r="E28" s="65" t="str">
        <f>IFERROR(INDEX(_Datos!E:E,MATCH(21,_Datos!$I:$I,0)),"")</f>
        <v/>
      </c>
      <c r="F28" s="63" t="str">
        <f>IFERROR(INDEX(_Datos!F:F,MATCH(21,_Datos!$I:$I,0)),"")</f>
        <v/>
      </c>
      <c r="G28" s="63" t="str">
        <f>IFERROR(INDEX(_Datos!G:G,MATCH(21,_Datos!$I:$I,0)),"")</f>
        <v/>
      </c>
      <c r="H28" s="66" t="str">
        <f>IFERROR(INDEX(_Datos!H:H,MATCH(21,_Datos!$I:$I,0)),"")</f>
        <v/>
      </c>
    </row>
    <row r="29" spans="1:8" x14ac:dyDescent="0.2">
      <c r="A29" s="67" t="str">
        <f>IFERROR(INDEX(_Datos!A:A,MATCH(22,_Datos!$I:$I,0)),"")</f>
        <v/>
      </c>
      <c r="B29" s="67" t="str">
        <f>IFERROR(INDEX(_Datos!B:B,MATCH(22,_Datos!$I:$I,0)),"")</f>
        <v/>
      </c>
      <c r="C29" s="67" t="str">
        <f>IFERROR(INDEX(_Datos!C:C,MATCH(22,_Datos!$I:$I,0)),"")</f>
        <v/>
      </c>
      <c r="D29" s="68" t="str">
        <f>IFERROR(INDEX(_Datos!D:D,MATCH(22,_Datos!$I:$I,0)),"")</f>
        <v/>
      </c>
      <c r="E29" s="69" t="str">
        <f>IFERROR(INDEX(_Datos!E:E,MATCH(22,_Datos!$I:$I,0)),"")</f>
        <v/>
      </c>
      <c r="F29" s="67" t="str">
        <f>IFERROR(INDEX(_Datos!F:F,MATCH(22,_Datos!$I:$I,0)),"")</f>
        <v/>
      </c>
      <c r="G29" s="67" t="str">
        <f>IFERROR(INDEX(_Datos!G:G,MATCH(22,_Datos!$I:$I,0)),"")</f>
        <v/>
      </c>
      <c r="H29" s="70" t="str">
        <f>IFERROR(INDEX(_Datos!H:H,MATCH(22,_Datos!$I:$I,0)),"")</f>
        <v/>
      </c>
    </row>
    <row r="30" spans="1:8" x14ac:dyDescent="0.2">
      <c r="A30" s="63" t="str">
        <f>IFERROR(INDEX(_Datos!A:A,MATCH(23,_Datos!$I:$I,0)),"")</f>
        <v/>
      </c>
      <c r="B30" s="63" t="str">
        <f>IFERROR(INDEX(_Datos!B:B,MATCH(23,_Datos!$I:$I,0)),"")</f>
        <v/>
      </c>
      <c r="C30" s="63" t="str">
        <f>IFERROR(INDEX(_Datos!C:C,MATCH(23,_Datos!$I:$I,0)),"")</f>
        <v/>
      </c>
      <c r="D30" s="64" t="str">
        <f>IFERROR(INDEX(_Datos!D:D,MATCH(23,_Datos!$I:$I,0)),"")</f>
        <v/>
      </c>
      <c r="E30" s="65" t="str">
        <f>IFERROR(INDEX(_Datos!E:E,MATCH(23,_Datos!$I:$I,0)),"")</f>
        <v/>
      </c>
      <c r="F30" s="63" t="str">
        <f>IFERROR(INDEX(_Datos!F:F,MATCH(23,_Datos!$I:$I,0)),"")</f>
        <v/>
      </c>
      <c r="G30" s="63" t="str">
        <f>IFERROR(INDEX(_Datos!G:G,MATCH(23,_Datos!$I:$I,0)),"")</f>
        <v/>
      </c>
      <c r="H30" s="66" t="str">
        <f>IFERROR(INDEX(_Datos!H:H,MATCH(23,_Datos!$I:$I,0)),"")</f>
        <v/>
      </c>
    </row>
    <row r="31" spans="1:8" x14ac:dyDescent="0.2">
      <c r="A31" s="67" t="str">
        <f>IFERROR(INDEX(_Datos!A:A,MATCH(24,_Datos!$I:$I,0)),"")</f>
        <v/>
      </c>
      <c r="B31" s="67" t="str">
        <f>IFERROR(INDEX(_Datos!B:B,MATCH(24,_Datos!$I:$I,0)),"")</f>
        <v/>
      </c>
      <c r="C31" s="67" t="str">
        <f>IFERROR(INDEX(_Datos!C:C,MATCH(24,_Datos!$I:$I,0)),"")</f>
        <v/>
      </c>
      <c r="D31" s="68" t="str">
        <f>IFERROR(INDEX(_Datos!D:D,MATCH(24,_Datos!$I:$I,0)),"")</f>
        <v/>
      </c>
      <c r="E31" s="69" t="str">
        <f>IFERROR(INDEX(_Datos!E:E,MATCH(24,_Datos!$I:$I,0)),"")</f>
        <v/>
      </c>
      <c r="F31" s="67" t="str">
        <f>IFERROR(INDEX(_Datos!F:F,MATCH(24,_Datos!$I:$I,0)),"")</f>
        <v/>
      </c>
      <c r="G31" s="67" t="str">
        <f>IFERROR(INDEX(_Datos!G:G,MATCH(24,_Datos!$I:$I,0)),"")</f>
        <v/>
      </c>
      <c r="H31" s="70" t="str">
        <f>IFERROR(INDEX(_Datos!H:H,MATCH(24,_Datos!$I:$I,0)),"")</f>
        <v/>
      </c>
    </row>
    <row r="32" spans="1:8" x14ac:dyDescent="0.2">
      <c r="A32" s="63" t="str">
        <f>IFERROR(INDEX(_Datos!A:A,MATCH(25,_Datos!$I:$I,0)),"")</f>
        <v/>
      </c>
      <c r="B32" s="63" t="str">
        <f>IFERROR(INDEX(_Datos!B:B,MATCH(25,_Datos!$I:$I,0)),"")</f>
        <v/>
      </c>
      <c r="C32" s="63" t="str">
        <f>IFERROR(INDEX(_Datos!C:C,MATCH(25,_Datos!$I:$I,0)),"")</f>
        <v/>
      </c>
      <c r="D32" s="64" t="str">
        <f>IFERROR(INDEX(_Datos!D:D,MATCH(25,_Datos!$I:$I,0)),"")</f>
        <v/>
      </c>
      <c r="E32" s="65" t="str">
        <f>IFERROR(INDEX(_Datos!E:E,MATCH(25,_Datos!$I:$I,0)),"")</f>
        <v/>
      </c>
      <c r="F32" s="63" t="str">
        <f>IFERROR(INDEX(_Datos!F:F,MATCH(25,_Datos!$I:$I,0)),"")</f>
        <v/>
      </c>
      <c r="G32" s="63" t="str">
        <f>IFERROR(INDEX(_Datos!G:G,MATCH(25,_Datos!$I:$I,0)),"")</f>
        <v/>
      </c>
      <c r="H32" s="66" t="str">
        <f>IFERROR(INDEX(_Datos!H:H,MATCH(25,_Datos!$I:$I,0)),"")</f>
        <v/>
      </c>
    </row>
    <row r="33" spans="1:8" x14ac:dyDescent="0.2">
      <c r="A33" s="67" t="str">
        <f>IFERROR(INDEX(_Datos!A:A,MATCH(26,_Datos!$I:$I,0)),"")</f>
        <v/>
      </c>
      <c r="B33" s="67" t="str">
        <f>IFERROR(INDEX(_Datos!B:B,MATCH(26,_Datos!$I:$I,0)),"")</f>
        <v/>
      </c>
      <c r="C33" s="67" t="str">
        <f>IFERROR(INDEX(_Datos!C:C,MATCH(26,_Datos!$I:$I,0)),"")</f>
        <v/>
      </c>
      <c r="D33" s="68" t="str">
        <f>IFERROR(INDEX(_Datos!D:D,MATCH(26,_Datos!$I:$I,0)),"")</f>
        <v/>
      </c>
      <c r="E33" s="69" t="str">
        <f>IFERROR(INDEX(_Datos!E:E,MATCH(26,_Datos!$I:$I,0)),"")</f>
        <v/>
      </c>
      <c r="F33" s="67" t="str">
        <f>IFERROR(INDEX(_Datos!F:F,MATCH(26,_Datos!$I:$I,0)),"")</f>
        <v/>
      </c>
      <c r="G33" s="67" t="str">
        <f>IFERROR(INDEX(_Datos!G:G,MATCH(26,_Datos!$I:$I,0)),"")</f>
        <v/>
      </c>
      <c r="H33" s="70" t="str">
        <f>IFERROR(INDEX(_Datos!H:H,MATCH(26,_Datos!$I:$I,0)),"")</f>
        <v/>
      </c>
    </row>
    <row r="34" spans="1:8" x14ac:dyDescent="0.2">
      <c r="A34" s="63" t="str">
        <f>IFERROR(INDEX(_Datos!A:A,MATCH(27,_Datos!$I:$I,0)),"")</f>
        <v/>
      </c>
      <c r="B34" s="63" t="str">
        <f>IFERROR(INDEX(_Datos!B:B,MATCH(27,_Datos!$I:$I,0)),"")</f>
        <v/>
      </c>
      <c r="C34" s="63" t="str">
        <f>IFERROR(INDEX(_Datos!C:C,MATCH(27,_Datos!$I:$I,0)),"")</f>
        <v/>
      </c>
      <c r="D34" s="64" t="str">
        <f>IFERROR(INDEX(_Datos!D:D,MATCH(27,_Datos!$I:$I,0)),"")</f>
        <v/>
      </c>
      <c r="E34" s="65" t="str">
        <f>IFERROR(INDEX(_Datos!E:E,MATCH(27,_Datos!$I:$I,0)),"")</f>
        <v/>
      </c>
      <c r="F34" s="63" t="str">
        <f>IFERROR(INDEX(_Datos!F:F,MATCH(27,_Datos!$I:$I,0)),"")</f>
        <v/>
      </c>
      <c r="G34" s="63" t="str">
        <f>IFERROR(INDEX(_Datos!G:G,MATCH(27,_Datos!$I:$I,0)),"")</f>
        <v/>
      </c>
      <c r="H34" s="66" t="str">
        <f>IFERROR(INDEX(_Datos!H:H,MATCH(27,_Datos!$I:$I,0)),"")</f>
        <v/>
      </c>
    </row>
    <row r="35" spans="1:8" x14ac:dyDescent="0.2">
      <c r="A35" s="67" t="str">
        <f>IFERROR(INDEX(_Datos!A:A,MATCH(28,_Datos!$I:$I,0)),"")</f>
        <v/>
      </c>
      <c r="B35" s="67" t="str">
        <f>IFERROR(INDEX(_Datos!B:B,MATCH(28,_Datos!$I:$I,0)),"")</f>
        <v/>
      </c>
      <c r="C35" s="67" t="str">
        <f>IFERROR(INDEX(_Datos!C:C,MATCH(28,_Datos!$I:$I,0)),"")</f>
        <v/>
      </c>
      <c r="D35" s="68" t="str">
        <f>IFERROR(INDEX(_Datos!D:D,MATCH(28,_Datos!$I:$I,0)),"")</f>
        <v/>
      </c>
      <c r="E35" s="69" t="str">
        <f>IFERROR(INDEX(_Datos!E:E,MATCH(28,_Datos!$I:$I,0)),"")</f>
        <v/>
      </c>
      <c r="F35" s="67" t="str">
        <f>IFERROR(INDEX(_Datos!F:F,MATCH(28,_Datos!$I:$I,0)),"")</f>
        <v/>
      </c>
      <c r="G35" s="67" t="str">
        <f>IFERROR(INDEX(_Datos!G:G,MATCH(28,_Datos!$I:$I,0)),"")</f>
        <v/>
      </c>
      <c r="H35" s="70" t="str">
        <f>IFERROR(INDEX(_Datos!H:H,MATCH(28,_Datos!$I:$I,0)),"")</f>
        <v/>
      </c>
    </row>
    <row r="36" spans="1:8" x14ac:dyDescent="0.2">
      <c r="A36" s="63" t="str">
        <f>IFERROR(INDEX(_Datos!A:A,MATCH(29,_Datos!$I:$I,0)),"")</f>
        <v/>
      </c>
      <c r="B36" s="63" t="str">
        <f>IFERROR(INDEX(_Datos!B:B,MATCH(29,_Datos!$I:$I,0)),"")</f>
        <v/>
      </c>
      <c r="C36" s="63" t="str">
        <f>IFERROR(INDEX(_Datos!C:C,MATCH(29,_Datos!$I:$I,0)),"")</f>
        <v/>
      </c>
      <c r="D36" s="64" t="str">
        <f>IFERROR(INDEX(_Datos!D:D,MATCH(29,_Datos!$I:$I,0)),"")</f>
        <v/>
      </c>
      <c r="E36" s="65" t="str">
        <f>IFERROR(INDEX(_Datos!E:E,MATCH(29,_Datos!$I:$I,0)),"")</f>
        <v/>
      </c>
      <c r="F36" s="63" t="str">
        <f>IFERROR(INDEX(_Datos!F:F,MATCH(29,_Datos!$I:$I,0)),"")</f>
        <v/>
      </c>
      <c r="G36" s="63" t="str">
        <f>IFERROR(INDEX(_Datos!G:G,MATCH(29,_Datos!$I:$I,0)),"")</f>
        <v/>
      </c>
      <c r="H36" s="66" t="str">
        <f>IFERROR(INDEX(_Datos!H:H,MATCH(29,_Datos!$I:$I,0)),"")</f>
        <v/>
      </c>
    </row>
    <row r="37" spans="1:8" x14ac:dyDescent="0.2">
      <c r="A37" s="67" t="str">
        <f>IFERROR(INDEX(_Datos!A:A,MATCH(30,_Datos!$I:$I,0)),"")</f>
        <v/>
      </c>
      <c r="B37" s="67" t="str">
        <f>IFERROR(INDEX(_Datos!B:B,MATCH(30,_Datos!$I:$I,0)),"")</f>
        <v/>
      </c>
      <c r="C37" s="67" t="str">
        <f>IFERROR(INDEX(_Datos!C:C,MATCH(30,_Datos!$I:$I,0)),"")</f>
        <v/>
      </c>
      <c r="D37" s="68" t="str">
        <f>IFERROR(INDEX(_Datos!D:D,MATCH(30,_Datos!$I:$I,0)),"")</f>
        <v/>
      </c>
      <c r="E37" s="69" t="str">
        <f>IFERROR(INDEX(_Datos!E:E,MATCH(30,_Datos!$I:$I,0)),"")</f>
        <v/>
      </c>
      <c r="F37" s="67" t="str">
        <f>IFERROR(INDEX(_Datos!F:F,MATCH(30,_Datos!$I:$I,0)),"")</f>
        <v/>
      </c>
      <c r="G37" s="67" t="str">
        <f>IFERROR(INDEX(_Datos!G:G,MATCH(30,_Datos!$I:$I,0)),"")</f>
        <v/>
      </c>
      <c r="H37" s="70" t="str">
        <f>IFERROR(INDEX(_Datos!H:H,MATCH(30,_Datos!$I:$I,0)),"")</f>
        <v/>
      </c>
    </row>
    <row r="38" spans="1:8" x14ac:dyDescent="0.2">
      <c r="A38" s="63" t="str">
        <f>IFERROR(INDEX(_Datos!A:A,MATCH(31,_Datos!$I:$I,0)),"")</f>
        <v/>
      </c>
      <c r="B38" s="63" t="str">
        <f>IFERROR(INDEX(_Datos!B:B,MATCH(31,_Datos!$I:$I,0)),"")</f>
        <v/>
      </c>
      <c r="C38" s="63" t="str">
        <f>IFERROR(INDEX(_Datos!C:C,MATCH(31,_Datos!$I:$I,0)),"")</f>
        <v/>
      </c>
      <c r="D38" s="64" t="str">
        <f>IFERROR(INDEX(_Datos!D:D,MATCH(31,_Datos!$I:$I,0)),"")</f>
        <v/>
      </c>
      <c r="E38" s="65" t="str">
        <f>IFERROR(INDEX(_Datos!E:E,MATCH(31,_Datos!$I:$I,0)),"")</f>
        <v/>
      </c>
      <c r="F38" s="63" t="str">
        <f>IFERROR(INDEX(_Datos!F:F,MATCH(31,_Datos!$I:$I,0)),"")</f>
        <v/>
      </c>
      <c r="G38" s="63" t="str">
        <f>IFERROR(INDEX(_Datos!G:G,MATCH(31,_Datos!$I:$I,0)),"")</f>
        <v/>
      </c>
      <c r="H38" s="66" t="str">
        <f>IFERROR(INDEX(_Datos!H:H,MATCH(31,_Datos!$I:$I,0)),"")</f>
        <v/>
      </c>
    </row>
    <row r="39" spans="1:8" x14ac:dyDescent="0.2">
      <c r="A39" s="67" t="str">
        <f>IFERROR(INDEX(_Datos!A:A,MATCH(32,_Datos!$I:$I,0)),"")</f>
        <v/>
      </c>
      <c r="B39" s="67" t="str">
        <f>IFERROR(INDEX(_Datos!B:B,MATCH(32,_Datos!$I:$I,0)),"")</f>
        <v/>
      </c>
      <c r="C39" s="67" t="str">
        <f>IFERROR(INDEX(_Datos!C:C,MATCH(32,_Datos!$I:$I,0)),"")</f>
        <v/>
      </c>
      <c r="D39" s="68" t="str">
        <f>IFERROR(INDEX(_Datos!D:D,MATCH(32,_Datos!$I:$I,0)),"")</f>
        <v/>
      </c>
      <c r="E39" s="69" t="str">
        <f>IFERROR(INDEX(_Datos!E:E,MATCH(32,_Datos!$I:$I,0)),"")</f>
        <v/>
      </c>
      <c r="F39" s="67" t="str">
        <f>IFERROR(INDEX(_Datos!F:F,MATCH(32,_Datos!$I:$I,0)),"")</f>
        <v/>
      </c>
      <c r="G39" s="67" t="str">
        <f>IFERROR(INDEX(_Datos!G:G,MATCH(32,_Datos!$I:$I,0)),"")</f>
        <v/>
      </c>
      <c r="H39" s="70" t="str">
        <f>IFERROR(INDEX(_Datos!H:H,MATCH(32,_Datos!$I:$I,0)),"")</f>
        <v/>
      </c>
    </row>
    <row r="40" spans="1:8" x14ac:dyDescent="0.2">
      <c r="A40" s="63" t="str">
        <f>IFERROR(INDEX(_Datos!A:A,MATCH(33,_Datos!$I:$I,0)),"")</f>
        <v/>
      </c>
      <c r="B40" s="63" t="str">
        <f>IFERROR(INDEX(_Datos!B:B,MATCH(33,_Datos!$I:$I,0)),"")</f>
        <v/>
      </c>
      <c r="C40" s="63" t="str">
        <f>IFERROR(INDEX(_Datos!C:C,MATCH(33,_Datos!$I:$I,0)),"")</f>
        <v/>
      </c>
      <c r="D40" s="64" t="str">
        <f>IFERROR(INDEX(_Datos!D:D,MATCH(33,_Datos!$I:$I,0)),"")</f>
        <v/>
      </c>
      <c r="E40" s="65" t="str">
        <f>IFERROR(INDEX(_Datos!E:E,MATCH(33,_Datos!$I:$I,0)),"")</f>
        <v/>
      </c>
      <c r="F40" s="63" t="str">
        <f>IFERROR(INDEX(_Datos!F:F,MATCH(33,_Datos!$I:$I,0)),"")</f>
        <v/>
      </c>
      <c r="G40" s="63" t="str">
        <f>IFERROR(INDEX(_Datos!G:G,MATCH(33,_Datos!$I:$I,0)),"")</f>
        <v/>
      </c>
      <c r="H40" s="66" t="str">
        <f>IFERROR(INDEX(_Datos!H:H,MATCH(33,_Datos!$I:$I,0)),"")</f>
        <v/>
      </c>
    </row>
    <row r="41" spans="1:8" x14ac:dyDescent="0.2">
      <c r="A41" s="67" t="str">
        <f>IFERROR(INDEX(_Datos!A:A,MATCH(34,_Datos!$I:$I,0)),"")</f>
        <v/>
      </c>
      <c r="B41" s="67" t="str">
        <f>IFERROR(INDEX(_Datos!B:B,MATCH(34,_Datos!$I:$I,0)),"")</f>
        <v/>
      </c>
      <c r="C41" s="67" t="str">
        <f>IFERROR(INDEX(_Datos!C:C,MATCH(34,_Datos!$I:$I,0)),"")</f>
        <v/>
      </c>
      <c r="D41" s="68" t="str">
        <f>IFERROR(INDEX(_Datos!D:D,MATCH(34,_Datos!$I:$I,0)),"")</f>
        <v/>
      </c>
      <c r="E41" s="69" t="str">
        <f>IFERROR(INDEX(_Datos!E:E,MATCH(34,_Datos!$I:$I,0)),"")</f>
        <v/>
      </c>
      <c r="F41" s="67" t="str">
        <f>IFERROR(INDEX(_Datos!F:F,MATCH(34,_Datos!$I:$I,0)),"")</f>
        <v/>
      </c>
      <c r="G41" s="67" t="str">
        <f>IFERROR(INDEX(_Datos!G:G,MATCH(34,_Datos!$I:$I,0)),"")</f>
        <v/>
      </c>
      <c r="H41" s="70" t="str">
        <f>IFERROR(INDEX(_Datos!H:H,MATCH(34,_Datos!$I:$I,0)),"")</f>
        <v/>
      </c>
    </row>
    <row r="42" spans="1:8" x14ac:dyDescent="0.2">
      <c r="A42" s="63" t="str">
        <f>IFERROR(INDEX(_Datos!A:A,MATCH(35,_Datos!$I:$I,0)),"")</f>
        <v/>
      </c>
      <c r="B42" s="63" t="str">
        <f>IFERROR(INDEX(_Datos!B:B,MATCH(35,_Datos!$I:$I,0)),"")</f>
        <v/>
      </c>
      <c r="C42" s="63" t="str">
        <f>IFERROR(INDEX(_Datos!C:C,MATCH(35,_Datos!$I:$I,0)),"")</f>
        <v/>
      </c>
      <c r="D42" s="64" t="str">
        <f>IFERROR(INDEX(_Datos!D:D,MATCH(35,_Datos!$I:$I,0)),"")</f>
        <v/>
      </c>
      <c r="E42" s="65" t="str">
        <f>IFERROR(INDEX(_Datos!E:E,MATCH(35,_Datos!$I:$I,0)),"")</f>
        <v/>
      </c>
      <c r="F42" s="63" t="str">
        <f>IFERROR(INDEX(_Datos!F:F,MATCH(35,_Datos!$I:$I,0)),"")</f>
        <v/>
      </c>
      <c r="G42" s="63" t="str">
        <f>IFERROR(INDEX(_Datos!G:G,MATCH(35,_Datos!$I:$I,0)),"")</f>
        <v/>
      </c>
      <c r="H42" s="66" t="str">
        <f>IFERROR(INDEX(_Datos!H:H,MATCH(35,_Datos!$I:$I,0)),"")</f>
        <v/>
      </c>
    </row>
    <row r="43" spans="1:8" x14ac:dyDescent="0.2">
      <c r="A43" s="67" t="str">
        <f>IFERROR(INDEX(_Datos!A:A,MATCH(36,_Datos!$I:$I,0)),"")</f>
        <v/>
      </c>
      <c r="B43" s="67" t="str">
        <f>IFERROR(INDEX(_Datos!B:B,MATCH(36,_Datos!$I:$I,0)),"")</f>
        <v/>
      </c>
      <c r="C43" s="67" t="str">
        <f>IFERROR(INDEX(_Datos!C:C,MATCH(36,_Datos!$I:$I,0)),"")</f>
        <v/>
      </c>
      <c r="D43" s="68" t="str">
        <f>IFERROR(INDEX(_Datos!D:D,MATCH(36,_Datos!$I:$I,0)),"")</f>
        <v/>
      </c>
      <c r="E43" s="69" t="str">
        <f>IFERROR(INDEX(_Datos!E:E,MATCH(36,_Datos!$I:$I,0)),"")</f>
        <v/>
      </c>
      <c r="F43" s="67" t="str">
        <f>IFERROR(INDEX(_Datos!F:F,MATCH(36,_Datos!$I:$I,0)),"")</f>
        <v/>
      </c>
      <c r="G43" s="67" t="str">
        <f>IFERROR(INDEX(_Datos!G:G,MATCH(36,_Datos!$I:$I,0)),"")</f>
        <v/>
      </c>
      <c r="H43" s="70" t="str">
        <f>IFERROR(INDEX(_Datos!H:H,MATCH(36,_Datos!$I:$I,0)),"")</f>
        <v/>
      </c>
    </row>
    <row r="44" spans="1:8" x14ac:dyDescent="0.2">
      <c r="A44" s="63" t="str">
        <f>IFERROR(INDEX(_Datos!A:A,MATCH(37,_Datos!$I:$I,0)),"")</f>
        <v/>
      </c>
      <c r="B44" s="63" t="str">
        <f>IFERROR(INDEX(_Datos!B:B,MATCH(37,_Datos!$I:$I,0)),"")</f>
        <v/>
      </c>
      <c r="C44" s="63" t="str">
        <f>IFERROR(INDEX(_Datos!C:C,MATCH(37,_Datos!$I:$I,0)),"")</f>
        <v/>
      </c>
      <c r="D44" s="64" t="str">
        <f>IFERROR(INDEX(_Datos!D:D,MATCH(37,_Datos!$I:$I,0)),"")</f>
        <v/>
      </c>
      <c r="E44" s="65" t="str">
        <f>IFERROR(INDEX(_Datos!E:E,MATCH(37,_Datos!$I:$I,0)),"")</f>
        <v/>
      </c>
      <c r="F44" s="63" t="str">
        <f>IFERROR(INDEX(_Datos!F:F,MATCH(37,_Datos!$I:$I,0)),"")</f>
        <v/>
      </c>
      <c r="G44" s="63" t="str">
        <f>IFERROR(INDEX(_Datos!G:G,MATCH(37,_Datos!$I:$I,0)),"")</f>
        <v/>
      </c>
      <c r="H44" s="66" t="str">
        <f>IFERROR(INDEX(_Datos!H:H,MATCH(37,_Datos!$I:$I,0)),"")</f>
        <v/>
      </c>
    </row>
    <row r="45" spans="1:8" x14ac:dyDescent="0.2">
      <c r="A45" s="67" t="str">
        <f>IFERROR(INDEX(_Datos!A:A,MATCH(38,_Datos!$I:$I,0)),"")</f>
        <v/>
      </c>
      <c r="B45" s="67" t="str">
        <f>IFERROR(INDEX(_Datos!B:B,MATCH(38,_Datos!$I:$I,0)),"")</f>
        <v/>
      </c>
      <c r="C45" s="67" t="str">
        <f>IFERROR(INDEX(_Datos!C:C,MATCH(38,_Datos!$I:$I,0)),"")</f>
        <v/>
      </c>
      <c r="D45" s="68" t="str">
        <f>IFERROR(INDEX(_Datos!D:D,MATCH(38,_Datos!$I:$I,0)),"")</f>
        <v/>
      </c>
      <c r="E45" s="69" t="str">
        <f>IFERROR(INDEX(_Datos!E:E,MATCH(38,_Datos!$I:$I,0)),"")</f>
        <v/>
      </c>
      <c r="F45" s="67" t="str">
        <f>IFERROR(INDEX(_Datos!F:F,MATCH(38,_Datos!$I:$I,0)),"")</f>
        <v/>
      </c>
      <c r="G45" s="67" t="str">
        <f>IFERROR(INDEX(_Datos!G:G,MATCH(38,_Datos!$I:$I,0)),"")</f>
        <v/>
      </c>
      <c r="H45" s="70" t="str">
        <f>IFERROR(INDEX(_Datos!H:H,MATCH(38,_Datos!$I:$I,0)),"")</f>
        <v/>
      </c>
    </row>
    <row r="46" spans="1:8" x14ac:dyDescent="0.2">
      <c r="A46" s="63" t="str">
        <f>IFERROR(INDEX(_Datos!A:A,MATCH(39,_Datos!$I:$I,0)),"")</f>
        <v/>
      </c>
      <c r="B46" s="63" t="str">
        <f>IFERROR(INDEX(_Datos!B:B,MATCH(39,_Datos!$I:$I,0)),"")</f>
        <v/>
      </c>
      <c r="C46" s="63" t="str">
        <f>IFERROR(INDEX(_Datos!C:C,MATCH(39,_Datos!$I:$I,0)),"")</f>
        <v/>
      </c>
      <c r="D46" s="64" t="str">
        <f>IFERROR(INDEX(_Datos!D:D,MATCH(39,_Datos!$I:$I,0)),"")</f>
        <v/>
      </c>
      <c r="E46" s="65" t="str">
        <f>IFERROR(INDEX(_Datos!E:E,MATCH(39,_Datos!$I:$I,0)),"")</f>
        <v/>
      </c>
      <c r="F46" s="63" t="str">
        <f>IFERROR(INDEX(_Datos!F:F,MATCH(39,_Datos!$I:$I,0)),"")</f>
        <v/>
      </c>
      <c r="G46" s="63" t="str">
        <f>IFERROR(INDEX(_Datos!G:G,MATCH(39,_Datos!$I:$I,0)),"")</f>
        <v/>
      </c>
      <c r="H46" s="66" t="str">
        <f>IFERROR(INDEX(_Datos!H:H,MATCH(39,_Datos!$I:$I,0)),"")</f>
        <v/>
      </c>
    </row>
    <row r="47" spans="1:8" x14ac:dyDescent="0.2">
      <c r="A47" s="67" t="str">
        <f>IFERROR(INDEX(_Datos!A:A,MATCH(40,_Datos!$I:$I,0)),"")</f>
        <v/>
      </c>
      <c r="B47" s="67" t="str">
        <f>IFERROR(INDEX(_Datos!B:B,MATCH(40,_Datos!$I:$I,0)),"")</f>
        <v/>
      </c>
      <c r="C47" s="67" t="str">
        <f>IFERROR(INDEX(_Datos!C:C,MATCH(40,_Datos!$I:$I,0)),"")</f>
        <v/>
      </c>
      <c r="D47" s="68" t="str">
        <f>IFERROR(INDEX(_Datos!D:D,MATCH(40,_Datos!$I:$I,0)),"")</f>
        <v/>
      </c>
      <c r="E47" s="69" t="str">
        <f>IFERROR(INDEX(_Datos!E:E,MATCH(40,_Datos!$I:$I,0)),"")</f>
        <v/>
      </c>
      <c r="F47" s="67" t="str">
        <f>IFERROR(INDEX(_Datos!F:F,MATCH(40,_Datos!$I:$I,0)),"")</f>
        <v/>
      </c>
      <c r="G47" s="67" t="str">
        <f>IFERROR(INDEX(_Datos!G:G,MATCH(40,_Datos!$I:$I,0)),"")</f>
        <v/>
      </c>
      <c r="H47" s="70" t="str">
        <f>IFERROR(INDEX(_Datos!H:H,MATCH(40,_Datos!$I:$I,0)),"")</f>
        <v/>
      </c>
    </row>
    <row r="48" spans="1:8" x14ac:dyDescent="0.2">
      <c r="A48" s="63" t="str">
        <f>IFERROR(INDEX(_Datos!A:A,MATCH(41,_Datos!$I:$I,0)),"")</f>
        <v/>
      </c>
      <c r="B48" s="63" t="str">
        <f>IFERROR(INDEX(_Datos!B:B,MATCH(41,_Datos!$I:$I,0)),"")</f>
        <v/>
      </c>
      <c r="C48" s="63" t="str">
        <f>IFERROR(INDEX(_Datos!C:C,MATCH(41,_Datos!$I:$I,0)),"")</f>
        <v/>
      </c>
      <c r="D48" s="64" t="str">
        <f>IFERROR(INDEX(_Datos!D:D,MATCH(41,_Datos!$I:$I,0)),"")</f>
        <v/>
      </c>
      <c r="E48" s="65" t="str">
        <f>IFERROR(INDEX(_Datos!E:E,MATCH(41,_Datos!$I:$I,0)),"")</f>
        <v/>
      </c>
      <c r="F48" s="63" t="str">
        <f>IFERROR(INDEX(_Datos!F:F,MATCH(41,_Datos!$I:$I,0)),"")</f>
        <v/>
      </c>
      <c r="G48" s="63" t="str">
        <f>IFERROR(INDEX(_Datos!G:G,MATCH(41,_Datos!$I:$I,0)),"")</f>
        <v/>
      </c>
      <c r="H48" s="66" t="str">
        <f>IFERROR(INDEX(_Datos!H:H,MATCH(41,_Datos!$I:$I,0)),"")</f>
        <v/>
      </c>
    </row>
    <row r="49" spans="1:8" x14ac:dyDescent="0.2">
      <c r="A49" s="67" t="str">
        <f>IFERROR(INDEX(_Datos!A:A,MATCH(42,_Datos!$I:$I,0)),"")</f>
        <v/>
      </c>
      <c r="B49" s="67" t="str">
        <f>IFERROR(INDEX(_Datos!B:B,MATCH(42,_Datos!$I:$I,0)),"")</f>
        <v/>
      </c>
      <c r="C49" s="67" t="str">
        <f>IFERROR(INDEX(_Datos!C:C,MATCH(42,_Datos!$I:$I,0)),"")</f>
        <v/>
      </c>
      <c r="D49" s="68" t="str">
        <f>IFERROR(INDEX(_Datos!D:D,MATCH(42,_Datos!$I:$I,0)),"")</f>
        <v/>
      </c>
      <c r="E49" s="69" t="str">
        <f>IFERROR(INDEX(_Datos!E:E,MATCH(42,_Datos!$I:$I,0)),"")</f>
        <v/>
      </c>
      <c r="F49" s="67" t="str">
        <f>IFERROR(INDEX(_Datos!F:F,MATCH(42,_Datos!$I:$I,0)),"")</f>
        <v/>
      </c>
      <c r="G49" s="67" t="str">
        <f>IFERROR(INDEX(_Datos!G:G,MATCH(42,_Datos!$I:$I,0)),"")</f>
        <v/>
      </c>
      <c r="H49" s="70" t="str">
        <f>IFERROR(INDEX(_Datos!H:H,MATCH(42,_Datos!$I:$I,0)),"")</f>
        <v/>
      </c>
    </row>
    <row r="50" spans="1:8" x14ac:dyDescent="0.2">
      <c r="A50" s="63" t="str">
        <f>IFERROR(INDEX(_Datos!A:A,MATCH(43,_Datos!$I:$I,0)),"")</f>
        <v/>
      </c>
      <c r="B50" s="63" t="str">
        <f>IFERROR(INDEX(_Datos!B:B,MATCH(43,_Datos!$I:$I,0)),"")</f>
        <v/>
      </c>
      <c r="C50" s="63" t="str">
        <f>IFERROR(INDEX(_Datos!C:C,MATCH(43,_Datos!$I:$I,0)),"")</f>
        <v/>
      </c>
      <c r="D50" s="64" t="str">
        <f>IFERROR(INDEX(_Datos!D:D,MATCH(43,_Datos!$I:$I,0)),"")</f>
        <v/>
      </c>
      <c r="E50" s="65" t="str">
        <f>IFERROR(INDEX(_Datos!E:E,MATCH(43,_Datos!$I:$I,0)),"")</f>
        <v/>
      </c>
      <c r="F50" s="63" t="str">
        <f>IFERROR(INDEX(_Datos!F:F,MATCH(43,_Datos!$I:$I,0)),"")</f>
        <v/>
      </c>
      <c r="G50" s="63" t="str">
        <f>IFERROR(INDEX(_Datos!G:G,MATCH(43,_Datos!$I:$I,0)),"")</f>
        <v/>
      </c>
      <c r="H50" s="66" t="str">
        <f>IFERROR(INDEX(_Datos!H:H,MATCH(43,_Datos!$I:$I,0)),"")</f>
        <v/>
      </c>
    </row>
    <row r="51" spans="1:8" x14ac:dyDescent="0.2">
      <c r="A51" s="67" t="str">
        <f>IFERROR(INDEX(_Datos!A:A,MATCH(44,_Datos!$I:$I,0)),"")</f>
        <v/>
      </c>
      <c r="B51" s="67" t="str">
        <f>IFERROR(INDEX(_Datos!B:B,MATCH(44,_Datos!$I:$I,0)),"")</f>
        <v/>
      </c>
      <c r="C51" s="67" t="str">
        <f>IFERROR(INDEX(_Datos!C:C,MATCH(44,_Datos!$I:$I,0)),"")</f>
        <v/>
      </c>
      <c r="D51" s="68" t="str">
        <f>IFERROR(INDEX(_Datos!D:D,MATCH(44,_Datos!$I:$I,0)),"")</f>
        <v/>
      </c>
      <c r="E51" s="69" t="str">
        <f>IFERROR(INDEX(_Datos!E:E,MATCH(44,_Datos!$I:$I,0)),"")</f>
        <v/>
      </c>
      <c r="F51" s="67" t="str">
        <f>IFERROR(INDEX(_Datos!F:F,MATCH(44,_Datos!$I:$I,0)),"")</f>
        <v/>
      </c>
      <c r="G51" s="67" t="str">
        <f>IFERROR(INDEX(_Datos!G:G,MATCH(44,_Datos!$I:$I,0)),"")</f>
        <v/>
      </c>
      <c r="H51" s="70" t="str">
        <f>IFERROR(INDEX(_Datos!H:H,MATCH(44,_Datos!$I:$I,0)),"")</f>
        <v/>
      </c>
    </row>
    <row r="52" spans="1:8" x14ac:dyDescent="0.2">
      <c r="A52" s="63" t="str">
        <f>IFERROR(INDEX(_Datos!A:A,MATCH(45,_Datos!$I:$I,0)),"")</f>
        <v/>
      </c>
      <c r="B52" s="63" t="str">
        <f>IFERROR(INDEX(_Datos!B:B,MATCH(45,_Datos!$I:$I,0)),"")</f>
        <v/>
      </c>
      <c r="C52" s="63" t="str">
        <f>IFERROR(INDEX(_Datos!C:C,MATCH(45,_Datos!$I:$I,0)),"")</f>
        <v/>
      </c>
      <c r="D52" s="64" t="str">
        <f>IFERROR(INDEX(_Datos!D:D,MATCH(45,_Datos!$I:$I,0)),"")</f>
        <v/>
      </c>
      <c r="E52" s="65" t="str">
        <f>IFERROR(INDEX(_Datos!E:E,MATCH(45,_Datos!$I:$I,0)),"")</f>
        <v/>
      </c>
      <c r="F52" s="63" t="str">
        <f>IFERROR(INDEX(_Datos!F:F,MATCH(45,_Datos!$I:$I,0)),"")</f>
        <v/>
      </c>
      <c r="G52" s="63" t="str">
        <f>IFERROR(INDEX(_Datos!G:G,MATCH(45,_Datos!$I:$I,0)),"")</f>
        <v/>
      </c>
      <c r="H52" s="66" t="str">
        <f>IFERROR(INDEX(_Datos!H:H,MATCH(45,_Datos!$I:$I,0)),"")</f>
        <v/>
      </c>
    </row>
    <row r="53" spans="1:8" x14ac:dyDescent="0.2">
      <c r="A53" s="67" t="str">
        <f>IFERROR(INDEX(_Datos!A:A,MATCH(46,_Datos!$I:$I,0)),"")</f>
        <v/>
      </c>
      <c r="B53" s="67" t="str">
        <f>IFERROR(INDEX(_Datos!B:B,MATCH(46,_Datos!$I:$I,0)),"")</f>
        <v/>
      </c>
      <c r="C53" s="67" t="str">
        <f>IFERROR(INDEX(_Datos!C:C,MATCH(46,_Datos!$I:$I,0)),"")</f>
        <v/>
      </c>
      <c r="D53" s="68" t="str">
        <f>IFERROR(INDEX(_Datos!D:D,MATCH(46,_Datos!$I:$I,0)),"")</f>
        <v/>
      </c>
      <c r="E53" s="69" t="str">
        <f>IFERROR(INDEX(_Datos!E:E,MATCH(46,_Datos!$I:$I,0)),"")</f>
        <v/>
      </c>
      <c r="F53" s="67" t="str">
        <f>IFERROR(INDEX(_Datos!F:F,MATCH(46,_Datos!$I:$I,0)),"")</f>
        <v/>
      </c>
      <c r="G53" s="67" t="str">
        <f>IFERROR(INDEX(_Datos!G:G,MATCH(46,_Datos!$I:$I,0)),"")</f>
        <v/>
      </c>
      <c r="H53" s="70" t="str">
        <f>IFERROR(INDEX(_Datos!H:H,MATCH(46,_Datos!$I:$I,0)),"")</f>
        <v/>
      </c>
    </row>
    <row r="54" spans="1:8" x14ac:dyDescent="0.2">
      <c r="A54" s="63" t="str">
        <f>IFERROR(INDEX(_Datos!A:A,MATCH(47,_Datos!$I:$I,0)),"")</f>
        <v/>
      </c>
      <c r="B54" s="63" t="str">
        <f>IFERROR(INDEX(_Datos!B:B,MATCH(47,_Datos!$I:$I,0)),"")</f>
        <v/>
      </c>
      <c r="C54" s="63" t="str">
        <f>IFERROR(INDEX(_Datos!C:C,MATCH(47,_Datos!$I:$I,0)),"")</f>
        <v/>
      </c>
      <c r="D54" s="64" t="str">
        <f>IFERROR(INDEX(_Datos!D:D,MATCH(47,_Datos!$I:$I,0)),"")</f>
        <v/>
      </c>
      <c r="E54" s="65" t="str">
        <f>IFERROR(INDEX(_Datos!E:E,MATCH(47,_Datos!$I:$I,0)),"")</f>
        <v/>
      </c>
      <c r="F54" s="63" t="str">
        <f>IFERROR(INDEX(_Datos!F:F,MATCH(47,_Datos!$I:$I,0)),"")</f>
        <v/>
      </c>
      <c r="G54" s="63" t="str">
        <f>IFERROR(INDEX(_Datos!G:G,MATCH(47,_Datos!$I:$I,0)),"")</f>
        <v/>
      </c>
      <c r="H54" s="66" t="str">
        <f>IFERROR(INDEX(_Datos!H:H,MATCH(47,_Datos!$I:$I,0)),"")</f>
        <v/>
      </c>
    </row>
    <row r="55" spans="1:8" x14ac:dyDescent="0.2">
      <c r="A55" s="67" t="str">
        <f>IFERROR(INDEX(_Datos!A:A,MATCH(48,_Datos!$I:$I,0)),"")</f>
        <v/>
      </c>
      <c r="B55" s="67" t="str">
        <f>IFERROR(INDEX(_Datos!B:B,MATCH(48,_Datos!$I:$I,0)),"")</f>
        <v/>
      </c>
      <c r="C55" s="67" t="str">
        <f>IFERROR(INDEX(_Datos!C:C,MATCH(48,_Datos!$I:$I,0)),"")</f>
        <v/>
      </c>
      <c r="D55" s="68" t="str">
        <f>IFERROR(INDEX(_Datos!D:D,MATCH(48,_Datos!$I:$I,0)),"")</f>
        <v/>
      </c>
      <c r="E55" s="69" t="str">
        <f>IFERROR(INDEX(_Datos!E:E,MATCH(48,_Datos!$I:$I,0)),"")</f>
        <v/>
      </c>
      <c r="F55" s="67" t="str">
        <f>IFERROR(INDEX(_Datos!F:F,MATCH(48,_Datos!$I:$I,0)),"")</f>
        <v/>
      </c>
      <c r="G55" s="67" t="str">
        <f>IFERROR(INDEX(_Datos!G:G,MATCH(48,_Datos!$I:$I,0)),"")</f>
        <v/>
      </c>
      <c r="H55" s="70" t="str">
        <f>IFERROR(INDEX(_Datos!H:H,MATCH(48,_Datos!$I:$I,0)),"")</f>
        <v/>
      </c>
    </row>
    <row r="56" spans="1:8" x14ac:dyDescent="0.2">
      <c r="A56" s="63" t="str">
        <f>IFERROR(INDEX(_Datos!A:A,MATCH(49,_Datos!$I:$I,0)),"")</f>
        <v/>
      </c>
      <c r="B56" s="63" t="str">
        <f>IFERROR(INDEX(_Datos!B:B,MATCH(49,_Datos!$I:$I,0)),"")</f>
        <v/>
      </c>
      <c r="C56" s="63" t="str">
        <f>IFERROR(INDEX(_Datos!C:C,MATCH(49,_Datos!$I:$I,0)),"")</f>
        <v/>
      </c>
      <c r="D56" s="64" t="str">
        <f>IFERROR(INDEX(_Datos!D:D,MATCH(49,_Datos!$I:$I,0)),"")</f>
        <v/>
      </c>
      <c r="E56" s="65" t="str">
        <f>IFERROR(INDEX(_Datos!E:E,MATCH(49,_Datos!$I:$I,0)),"")</f>
        <v/>
      </c>
      <c r="F56" s="63" t="str">
        <f>IFERROR(INDEX(_Datos!F:F,MATCH(49,_Datos!$I:$I,0)),"")</f>
        <v/>
      </c>
      <c r="G56" s="63" t="str">
        <f>IFERROR(INDEX(_Datos!G:G,MATCH(49,_Datos!$I:$I,0)),"")</f>
        <v/>
      </c>
      <c r="H56" s="66" t="str">
        <f>IFERROR(INDEX(_Datos!H:H,MATCH(49,_Datos!$I:$I,0)),"")</f>
        <v/>
      </c>
    </row>
    <row r="57" spans="1:8" x14ac:dyDescent="0.2">
      <c r="A57" s="67" t="str">
        <f>IFERROR(INDEX(_Datos!A:A,MATCH(50,_Datos!$I:$I,0)),"")</f>
        <v/>
      </c>
      <c r="B57" s="67" t="str">
        <f>IFERROR(INDEX(_Datos!B:B,MATCH(50,_Datos!$I:$I,0)),"")</f>
        <v/>
      </c>
      <c r="C57" s="67" t="str">
        <f>IFERROR(INDEX(_Datos!C:C,MATCH(50,_Datos!$I:$I,0)),"")</f>
        <v/>
      </c>
      <c r="D57" s="68" t="str">
        <f>IFERROR(INDEX(_Datos!D:D,MATCH(50,_Datos!$I:$I,0)),"")</f>
        <v/>
      </c>
      <c r="E57" s="69" t="str">
        <f>IFERROR(INDEX(_Datos!E:E,MATCH(50,_Datos!$I:$I,0)),"")</f>
        <v/>
      </c>
      <c r="F57" s="67" t="str">
        <f>IFERROR(INDEX(_Datos!F:F,MATCH(50,_Datos!$I:$I,0)),"")</f>
        <v/>
      </c>
      <c r="G57" s="67" t="str">
        <f>IFERROR(INDEX(_Datos!G:G,MATCH(50,_Datos!$I:$I,0)),"")</f>
        <v/>
      </c>
      <c r="H57" s="70" t="str">
        <f>IFERROR(INDEX(_Datos!H:H,MATCH(50,_Datos!$I:$I,0)),"")</f>
        <v/>
      </c>
    </row>
    <row r="58" spans="1:8" x14ac:dyDescent="0.2">
      <c r="A58" s="63" t="str">
        <f>IFERROR(INDEX(_Datos!A:A,MATCH(51,_Datos!$I:$I,0)),"")</f>
        <v/>
      </c>
      <c r="B58" s="63" t="str">
        <f>IFERROR(INDEX(_Datos!B:B,MATCH(51,_Datos!$I:$I,0)),"")</f>
        <v/>
      </c>
      <c r="C58" s="63" t="str">
        <f>IFERROR(INDEX(_Datos!C:C,MATCH(51,_Datos!$I:$I,0)),"")</f>
        <v/>
      </c>
      <c r="D58" s="64" t="str">
        <f>IFERROR(INDEX(_Datos!D:D,MATCH(51,_Datos!$I:$I,0)),"")</f>
        <v/>
      </c>
      <c r="E58" s="65" t="str">
        <f>IFERROR(INDEX(_Datos!E:E,MATCH(51,_Datos!$I:$I,0)),"")</f>
        <v/>
      </c>
      <c r="F58" s="63" t="str">
        <f>IFERROR(INDEX(_Datos!F:F,MATCH(51,_Datos!$I:$I,0)),"")</f>
        <v/>
      </c>
      <c r="G58" s="63" t="str">
        <f>IFERROR(INDEX(_Datos!G:G,MATCH(51,_Datos!$I:$I,0)),"")</f>
        <v/>
      </c>
      <c r="H58" s="66" t="str">
        <f>IFERROR(INDEX(_Datos!H:H,MATCH(51,_Datos!$I:$I,0)),"")</f>
        <v/>
      </c>
    </row>
    <row r="59" spans="1:8" x14ac:dyDescent="0.2">
      <c r="A59" s="67" t="str">
        <f>IFERROR(INDEX(_Datos!A:A,MATCH(52,_Datos!$I:$I,0)),"")</f>
        <v/>
      </c>
      <c r="B59" s="67" t="str">
        <f>IFERROR(INDEX(_Datos!B:B,MATCH(52,_Datos!$I:$I,0)),"")</f>
        <v/>
      </c>
      <c r="C59" s="67" t="str">
        <f>IFERROR(INDEX(_Datos!C:C,MATCH(52,_Datos!$I:$I,0)),"")</f>
        <v/>
      </c>
      <c r="D59" s="68" t="str">
        <f>IFERROR(INDEX(_Datos!D:D,MATCH(52,_Datos!$I:$I,0)),"")</f>
        <v/>
      </c>
      <c r="E59" s="69" t="str">
        <f>IFERROR(INDEX(_Datos!E:E,MATCH(52,_Datos!$I:$I,0)),"")</f>
        <v/>
      </c>
      <c r="F59" s="67" t="str">
        <f>IFERROR(INDEX(_Datos!F:F,MATCH(52,_Datos!$I:$I,0)),"")</f>
        <v/>
      </c>
      <c r="G59" s="67" t="str">
        <f>IFERROR(INDEX(_Datos!G:G,MATCH(52,_Datos!$I:$I,0)),"")</f>
        <v/>
      </c>
      <c r="H59" s="70" t="str">
        <f>IFERROR(INDEX(_Datos!H:H,MATCH(52,_Datos!$I:$I,0)),"")</f>
        <v/>
      </c>
    </row>
    <row r="60" spans="1:8" x14ac:dyDescent="0.2">
      <c r="A60" s="63" t="str">
        <f>IFERROR(INDEX(_Datos!A:A,MATCH(53,_Datos!$I:$I,0)),"")</f>
        <v/>
      </c>
      <c r="B60" s="63" t="str">
        <f>IFERROR(INDEX(_Datos!B:B,MATCH(53,_Datos!$I:$I,0)),"")</f>
        <v/>
      </c>
      <c r="C60" s="63" t="str">
        <f>IFERROR(INDEX(_Datos!C:C,MATCH(53,_Datos!$I:$I,0)),"")</f>
        <v/>
      </c>
      <c r="D60" s="64" t="str">
        <f>IFERROR(INDEX(_Datos!D:D,MATCH(53,_Datos!$I:$I,0)),"")</f>
        <v/>
      </c>
      <c r="E60" s="65" t="str">
        <f>IFERROR(INDEX(_Datos!E:E,MATCH(53,_Datos!$I:$I,0)),"")</f>
        <v/>
      </c>
      <c r="F60" s="63" t="str">
        <f>IFERROR(INDEX(_Datos!F:F,MATCH(53,_Datos!$I:$I,0)),"")</f>
        <v/>
      </c>
      <c r="G60" s="63" t="str">
        <f>IFERROR(INDEX(_Datos!G:G,MATCH(53,_Datos!$I:$I,0)),"")</f>
        <v/>
      </c>
      <c r="H60" s="66" t="str">
        <f>IFERROR(INDEX(_Datos!H:H,MATCH(53,_Datos!$I:$I,0)),"")</f>
        <v/>
      </c>
    </row>
    <row r="61" spans="1:8" x14ac:dyDescent="0.2">
      <c r="A61" s="67" t="str">
        <f>IFERROR(INDEX(_Datos!A:A,MATCH(54,_Datos!$I:$I,0)),"")</f>
        <v/>
      </c>
      <c r="B61" s="67" t="str">
        <f>IFERROR(INDEX(_Datos!B:B,MATCH(54,_Datos!$I:$I,0)),"")</f>
        <v/>
      </c>
      <c r="C61" s="67" t="str">
        <f>IFERROR(INDEX(_Datos!C:C,MATCH(54,_Datos!$I:$I,0)),"")</f>
        <v/>
      </c>
      <c r="D61" s="68" t="str">
        <f>IFERROR(INDEX(_Datos!D:D,MATCH(54,_Datos!$I:$I,0)),"")</f>
        <v/>
      </c>
      <c r="E61" s="69" t="str">
        <f>IFERROR(INDEX(_Datos!E:E,MATCH(54,_Datos!$I:$I,0)),"")</f>
        <v/>
      </c>
      <c r="F61" s="67" t="str">
        <f>IFERROR(INDEX(_Datos!F:F,MATCH(54,_Datos!$I:$I,0)),"")</f>
        <v/>
      </c>
      <c r="G61" s="67" t="str">
        <f>IFERROR(INDEX(_Datos!G:G,MATCH(54,_Datos!$I:$I,0)),"")</f>
        <v/>
      </c>
      <c r="H61" s="70" t="str">
        <f>IFERROR(INDEX(_Datos!H:H,MATCH(54,_Datos!$I:$I,0)),"")</f>
        <v/>
      </c>
    </row>
    <row r="62" spans="1:8" x14ac:dyDescent="0.2">
      <c r="A62" s="63" t="str">
        <f>IFERROR(INDEX(_Datos!A:A,MATCH(55,_Datos!$I:$I,0)),"")</f>
        <v/>
      </c>
      <c r="B62" s="63" t="str">
        <f>IFERROR(INDEX(_Datos!B:B,MATCH(55,_Datos!$I:$I,0)),"")</f>
        <v/>
      </c>
      <c r="C62" s="63" t="str">
        <f>IFERROR(INDEX(_Datos!C:C,MATCH(55,_Datos!$I:$I,0)),"")</f>
        <v/>
      </c>
      <c r="D62" s="64" t="str">
        <f>IFERROR(INDEX(_Datos!D:D,MATCH(55,_Datos!$I:$I,0)),"")</f>
        <v/>
      </c>
      <c r="E62" s="65" t="str">
        <f>IFERROR(INDEX(_Datos!E:E,MATCH(55,_Datos!$I:$I,0)),"")</f>
        <v/>
      </c>
      <c r="F62" s="63" t="str">
        <f>IFERROR(INDEX(_Datos!F:F,MATCH(55,_Datos!$I:$I,0)),"")</f>
        <v/>
      </c>
      <c r="G62" s="63" t="str">
        <f>IFERROR(INDEX(_Datos!G:G,MATCH(55,_Datos!$I:$I,0)),"")</f>
        <v/>
      </c>
      <c r="H62" s="66" t="str">
        <f>IFERROR(INDEX(_Datos!H:H,MATCH(55,_Datos!$I:$I,0)),"")</f>
        <v/>
      </c>
    </row>
    <row r="63" spans="1:8" x14ac:dyDescent="0.2">
      <c r="A63" s="67" t="str">
        <f>IFERROR(INDEX(_Datos!A:A,MATCH(56,_Datos!$I:$I,0)),"")</f>
        <v/>
      </c>
      <c r="B63" s="67" t="str">
        <f>IFERROR(INDEX(_Datos!B:B,MATCH(56,_Datos!$I:$I,0)),"")</f>
        <v/>
      </c>
      <c r="C63" s="67" t="str">
        <f>IFERROR(INDEX(_Datos!C:C,MATCH(56,_Datos!$I:$I,0)),"")</f>
        <v/>
      </c>
      <c r="D63" s="68" t="str">
        <f>IFERROR(INDEX(_Datos!D:D,MATCH(56,_Datos!$I:$I,0)),"")</f>
        <v/>
      </c>
      <c r="E63" s="69" t="str">
        <f>IFERROR(INDEX(_Datos!E:E,MATCH(56,_Datos!$I:$I,0)),"")</f>
        <v/>
      </c>
      <c r="F63" s="67" t="str">
        <f>IFERROR(INDEX(_Datos!F:F,MATCH(56,_Datos!$I:$I,0)),"")</f>
        <v/>
      </c>
      <c r="G63" s="67" t="str">
        <f>IFERROR(INDEX(_Datos!G:G,MATCH(56,_Datos!$I:$I,0)),"")</f>
        <v/>
      </c>
      <c r="H63" s="70" t="str">
        <f>IFERROR(INDEX(_Datos!H:H,MATCH(56,_Datos!$I:$I,0)),"")</f>
        <v/>
      </c>
    </row>
    <row r="64" spans="1:8" x14ac:dyDescent="0.2">
      <c r="A64" s="63" t="str">
        <f>IFERROR(INDEX(_Datos!A:A,MATCH(57,_Datos!$I:$I,0)),"")</f>
        <v/>
      </c>
      <c r="B64" s="63" t="str">
        <f>IFERROR(INDEX(_Datos!B:B,MATCH(57,_Datos!$I:$I,0)),"")</f>
        <v/>
      </c>
      <c r="C64" s="63" t="str">
        <f>IFERROR(INDEX(_Datos!C:C,MATCH(57,_Datos!$I:$I,0)),"")</f>
        <v/>
      </c>
      <c r="D64" s="64" t="str">
        <f>IFERROR(INDEX(_Datos!D:D,MATCH(57,_Datos!$I:$I,0)),"")</f>
        <v/>
      </c>
      <c r="E64" s="65" t="str">
        <f>IFERROR(INDEX(_Datos!E:E,MATCH(57,_Datos!$I:$I,0)),"")</f>
        <v/>
      </c>
      <c r="F64" s="63" t="str">
        <f>IFERROR(INDEX(_Datos!F:F,MATCH(57,_Datos!$I:$I,0)),"")</f>
        <v/>
      </c>
      <c r="G64" s="63" t="str">
        <f>IFERROR(INDEX(_Datos!G:G,MATCH(57,_Datos!$I:$I,0)),"")</f>
        <v/>
      </c>
      <c r="H64" s="66" t="str">
        <f>IFERROR(INDEX(_Datos!H:H,MATCH(57,_Datos!$I:$I,0)),"")</f>
        <v/>
      </c>
    </row>
    <row r="65" spans="1:8" x14ac:dyDescent="0.2">
      <c r="A65" s="67" t="str">
        <f>IFERROR(INDEX(_Datos!A:A,MATCH(58,_Datos!$I:$I,0)),"")</f>
        <v/>
      </c>
      <c r="B65" s="67" t="str">
        <f>IFERROR(INDEX(_Datos!B:B,MATCH(58,_Datos!$I:$I,0)),"")</f>
        <v/>
      </c>
      <c r="C65" s="67" t="str">
        <f>IFERROR(INDEX(_Datos!C:C,MATCH(58,_Datos!$I:$I,0)),"")</f>
        <v/>
      </c>
      <c r="D65" s="68" t="str">
        <f>IFERROR(INDEX(_Datos!D:D,MATCH(58,_Datos!$I:$I,0)),"")</f>
        <v/>
      </c>
      <c r="E65" s="69" t="str">
        <f>IFERROR(INDEX(_Datos!E:E,MATCH(58,_Datos!$I:$I,0)),"")</f>
        <v/>
      </c>
      <c r="F65" s="67" t="str">
        <f>IFERROR(INDEX(_Datos!F:F,MATCH(58,_Datos!$I:$I,0)),"")</f>
        <v/>
      </c>
      <c r="G65" s="67" t="str">
        <f>IFERROR(INDEX(_Datos!G:G,MATCH(58,_Datos!$I:$I,0)),"")</f>
        <v/>
      </c>
      <c r="H65" s="70" t="str">
        <f>IFERROR(INDEX(_Datos!H:H,MATCH(58,_Datos!$I:$I,0)),"")</f>
        <v/>
      </c>
    </row>
    <row r="66" spans="1:8" x14ac:dyDescent="0.2">
      <c r="A66" s="63" t="str">
        <f>IFERROR(INDEX(_Datos!A:A,MATCH(59,_Datos!$I:$I,0)),"")</f>
        <v/>
      </c>
      <c r="B66" s="63" t="str">
        <f>IFERROR(INDEX(_Datos!B:B,MATCH(59,_Datos!$I:$I,0)),"")</f>
        <v/>
      </c>
      <c r="C66" s="63" t="str">
        <f>IFERROR(INDEX(_Datos!C:C,MATCH(59,_Datos!$I:$I,0)),"")</f>
        <v/>
      </c>
      <c r="D66" s="64" t="str">
        <f>IFERROR(INDEX(_Datos!D:D,MATCH(59,_Datos!$I:$I,0)),"")</f>
        <v/>
      </c>
      <c r="E66" s="65" t="str">
        <f>IFERROR(INDEX(_Datos!E:E,MATCH(59,_Datos!$I:$I,0)),"")</f>
        <v/>
      </c>
      <c r="F66" s="63" t="str">
        <f>IFERROR(INDEX(_Datos!F:F,MATCH(59,_Datos!$I:$I,0)),"")</f>
        <v/>
      </c>
      <c r="G66" s="63" t="str">
        <f>IFERROR(INDEX(_Datos!G:G,MATCH(59,_Datos!$I:$I,0)),"")</f>
        <v/>
      </c>
      <c r="H66" s="66" t="str">
        <f>IFERROR(INDEX(_Datos!H:H,MATCH(59,_Datos!$I:$I,0)),"")</f>
        <v/>
      </c>
    </row>
    <row r="67" spans="1:8" x14ac:dyDescent="0.2">
      <c r="A67" s="67" t="str">
        <f>IFERROR(INDEX(_Datos!A:A,MATCH(60,_Datos!$I:$I,0)),"")</f>
        <v/>
      </c>
      <c r="B67" s="67" t="str">
        <f>IFERROR(INDEX(_Datos!B:B,MATCH(60,_Datos!$I:$I,0)),"")</f>
        <v/>
      </c>
      <c r="C67" s="67" t="str">
        <f>IFERROR(INDEX(_Datos!C:C,MATCH(60,_Datos!$I:$I,0)),"")</f>
        <v/>
      </c>
      <c r="D67" s="68" t="str">
        <f>IFERROR(INDEX(_Datos!D:D,MATCH(60,_Datos!$I:$I,0)),"")</f>
        <v/>
      </c>
      <c r="E67" s="69" t="str">
        <f>IFERROR(INDEX(_Datos!E:E,MATCH(60,_Datos!$I:$I,0)),"")</f>
        <v/>
      </c>
      <c r="F67" s="67" t="str">
        <f>IFERROR(INDEX(_Datos!F:F,MATCH(60,_Datos!$I:$I,0)),"")</f>
        <v/>
      </c>
      <c r="G67" s="67" t="str">
        <f>IFERROR(INDEX(_Datos!G:G,MATCH(60,_Datos!$I:$I,0)),"")</f>
        <v/>
      </c>
      <c r="H67" s="70" t="str">
        <f>IFERROR(INDEX(_Datos!H:H,MATCH(60,_Datos!$I:$I,0)),"")</f>
        <v/>
      </c>
    </row>
    <row r="68" spans="1:8" x14ac:dyDescent="0.2">
      <c r="A68" s="63" t="str">
        <f>IFERROR(INDEX(_Datos!A:A,MATCH(61,_Datos!$I:$I,0)),"")</f>
        <v/>
      </c>
      <c r="B68" s="63" t="str">
        <f>IFERROR(INDEX(_Datos!B:B,MATCH(61,_Datos!$I:$I,0)),"")</f>
        <v/>
      </c>
      <c r="C68" s="63" t="str">
        <f>IFERROR(INDEX(_Datos!C:C,MATCH(61,_Datos!$I:$I,0)),"")</f>
        <v/>
      </c>
      <c r="D68" s="64" t="str">
        <f>IFERROR(INDEX(_Datos!D:D,MATCH(61,_Datos!$I:$I,0)),"")</f>
        <v/>
      </c>
      <c r="E68" s="65" t="str">
        <f>IFERROR(INDEX(_Datos!E:E,MATCH(61,_Datos!$I:$I,0)),"")</f>
        <v/>
      </c>
      <c r="F68" s="63" t="str">
        <f>IFERROR(INDEX(_Datos!F:F,MATCH(61,_Datos!$I:$I,0)),"")</f>
        <v/>
      </c>
      <c r="G68" s="63" t="str">
        <f>IFERROR(INDEX(_Datos!G:G,MATCH(61,_Datos!$I:$I,0)),"")</f>
        <v/>
      </c>
      <c r="H68" s="66" t="str">
        <f>IFERROR(INDEX(_Datos!H:H,MATCH(61,_Datos!$I:$I,0)),"")</f>
        <v/>
      </c>
    </row>
    <row r="69" spans="1:8" x14ac:dyDescent="0.2">
      <c r="A69" s="67" t="str">
        <f>IFERROR(INDEX(_Datos!A:A,MATCH(62,_Datos!$I:$I,0)),"")</f>
        <v/>
      </c>
      <c r="B69" s="67" t="str">
        <f>IFERROR(INDEX(_Datos!B:B,MATCH(62,_Datos!$I:$I,0)),"")</f>
        <v/>
      </c>
      <c r="C69" s="67" t="str">
        <f>IFERROR(INDEX(_Datos!C:C,MATCH(62,_Datos!$I:$I,0)),"")</f>
        <v/>
      </c>
      <c r="D69" s="68" t="str">
        <f>IFERROR(INDEX(_Datos!D:D,MATCH(62,_Datos!$I:$I,0)),"")</f>
        <v/>
      </c>
      <c r="E69" s="69" t="str">
        <f>IFERROR(INDEX(_Datos!E:E,MATCH(62,_Datos!$I:$I,0)),"")</f>
        <v/>
      </c>
      <c r="F69" s="67" t="str">
        <f>IFERROR(INDEX(_Datos!F:F,MATCH(62,_Datos!$I:$I,0)),"")</f>
        <v/>
      </c>
      <c r="G69" s="67" t="str">
        <f>IFERROR(INDEX(_Datos!G:G,MATCH(62,_Datos!$I:$I,0)),"")</f>
        <v/>
      </c>
      <c r="H69" s="70" t="str">
        <f>IFERROR(INDEX(_Datos!H:H,MATCH(62,_Datos!$I:$I,0)),"")</f>
        <v/>
      </c>
    </row>
    <row r="70" spans="1:8" x14ac:dyDescent="0.2">
      <c r="A70" s="63" t="str">
        <f>IFERROR(INDEX(_Datos!A:A,MATCH(63,_Datos!$I:$I,0)),"")</f>
        <v/>
      </c>
      <c r="B70" s="63" t="str">
        <f>IFERROR(INDEX(_Datos!B:B,MATCH(63,_Datos!$I:$I,0)),"")</f>
        <v/>
      </c>
      <c r="C70" s="63" t="str">
        <f>IFERROR(INDEX(_Datos!C:C,MATCH(63,_Datos!$I:$I,0)),"")</f>
        <v/>
      </c>
      <c r="D70" s="64" t="str">
        <f>IFERROR(INDEX(_Datos!D:D,MATCH(63,_Datos!$I:$I,0)),"")</f>
        <v/>
      </c>
      <c r="E70" s="65" t="str">
        <f>IFERROR(INDEX(_Datos!E:E,MATCH(63,_Datos!$I:$I,0)),"")</f>
        <v/>
      </c>
      <c r="F70" s="63" t="str">
        <f>IFERROR(INDEX(_Datos!F:F,MATCH(63,_Datos!$I:$I,0)),"")</f>
        <v/>
      </c>
      <c r="G70" s="63" t="str">
        <f>IFERROR(INDEX(_Datos!G:G,MATCH(63,_Datos!$I:$I,0)),"")</f>
        <v/>
      </c>
      <c r="H70" s="66" t="str">
        <f>IFERROR(INDEX(_Datos!H:H,MATCH(63,_Datos!$I:$I,0)),"")</f>
        <v/>
      </c>
    </row>
    <row r="71" spans="1:8" x14ac:dyDescent="0.2">
      <c r="A71" s="67" t="str">
        <f>IFERROR(INDEX(_Datos!A:A,MATCH(64,_Datos!$I:$I,0)),"")</f>
        <v/>
      </c>
      <c r="B71" s="67" t="str">
        <f>IFERROR(INDEX(_Datos!B:B,MATCH(64,_Datos!$I:$I,0)),"")</f>
        <v/>
      </c>
      <c r="C71" s="67" t="str">
        <f>IFERROR(INDEX(_Datos!C:C,MATCH(64,_Datos!$I:$I,0)),"")</f>
        <v/>
      </c>
      <c r="D71" s="68" t="str">
        <f>IFERROR(INDEX(_Datos!D:D,MATCH(64,_Datos!$I:$I,0)),"")</f>
        <v/>
      </c>
      <c r="E71" s="69" t="str">
        <f>IFERROR(INDEX(_Datos!E:E,MATCH(64,_Datos!$I:$I,0)),"")</f>
        <v/>
      </c>
      <c r="F71" s="67" t="str">
        <f>IFERROR(INDEX(_Datos!F:F,MATCH(64,_Datos!$I:$I,0)),"")</f>
        <v/>
      </c>
      <c r="G71" s="67" t="str">
        <f>IFERROR(INDEX(_Datos!G:G,MATCH(64,_Datos!$I:$I,0)),"")</f>
        <v/>
      </c>
      <c r="H71" s="70" t="str">
        <f>IFERROR(INDEX(_Datos!H:H,MATCH(64,_Datos!$I:$I,0)),"")</f>
        <v/>
      </c>
    </row>
    <row r="72" spans="1:8" x14ac:dyDescent="0.2">
      <c r="A72" s="63" t="str">
        <f>IFERROR(INDEX(_Datos!A:A,MATCH(65,_Datos!$I:$I,0)),"")</f>
        <v/>
      </c>
      <c r="B72" s="63" t="str">
        <f>IFERROR(INDEX(_Datos!B:B,MATCH(65,_Datos!$I:$I,0)),"")</f>
        <v/>
      </c>
      <c r="C72" s="63" t="str">
        <f>IFERROR(INDEX(_Datos!C:C,MATCH(65,_Datos!$I:$I,0)),"")</f>
        <v/>
      </c>
      <c r="D72" s="64" t="str">
        <f>IFERROR(INDEX(_Datos!D:D,MATCH(65,_Datos!$I:$I,0)),"")</f>
        <v/>
      </c>
      <c r="E72" s="65" t="str">
        <f>IFERROR(INDEX(_Datos!E:E,MATCH(65,_Datos!$I:$I,0)),"")</f>
        <v/>
      </c>
      <c r="F72" s="63" t="str">
        <f>IFERROR(INDEX(_Datos!F:F,MATCH(65,_Datos!$I:$I,0)),"")</f>
        <v/>
      </c>
      <c r="G72" s="63" t="str">
        <f>IFERROR(INDEX(_Datos!G:G,MATCH(65,_Datos!$I:$I,0)),"")</f>
        <v/>
      </c>
      <c r="H72" s="66" t="str">
        <f>IFERROR(INDEX(_Datos!H:H,MATCH(65,_Datos!$I:$I,0)),"")</f>
        <v/>
      </c>
    </row>
    <row r="73" spans="1:8" x14ac:dyDescent="0.2">
      <c r="A73" s="67" t="str">
        <f>IFERROR(INDEX(_Datos!A:A,MATCH(66,_Datos!$I:$I,0)),"")</f>
        <v/>
      </c>
      <c r="B73" s="67" t="str">
        <f>IFERROR(INDEX(_Datos!B:B,MATCH(66,_Datos!$I:$I,0)),"")</f>
        <v/>
      </c>
      <c r="C73" s="67" t="str">
        <f>IFERROR(INDEX(_Datos!C:C,MATCH(66,_Datos!$I:$I,0)),"")</f>
        <v/>
      </c>
      <c r="D73" s="68" t="str">
        <f>IFERROR(INDEX(_Datos!D:D,MATCH(66,_Datos!$I:$I,0)),"")</f>
        <v/>
      </c>
      <c r="E73" s="69" t="str">
        <f>IFERROR(INDEX(_Datos!E:E,MATCH(66,_Datos!$I:$I,0)),"")</f>
        <v/>
      </c>
      <c r="F73" s="67" t="str">
        <f>IFERROR(INDEX(_Datos!F:F,MATCH(66,_Datos!$I:$I,0)),"")</f>
        <v/>
      </c>
      <c r="G73" s="67" t="str">
        <f>IFERROR(INDEX(_Datos!G:G,MATCH(66,_Datos!$I:$I,0)),"")</f>
        <v/>
      </c>
      <c r="H73" s="70" t="str">
        <f>IFERROR(INDEX(_Datos!H:H,MATCH(66,_Datos!$I:$I,0)),"")</f>
        <v/>
      </c>
    </row>
    <row r="74" spans="1:8" x14ac:dyDescent="0.2">
      <c r="A74" s="63" t="str">
        <f>IFERROR(INDEX(_Datos!A:A,MATCH(67,_Datos!$I:$I,0)),"")</f>
        <v/>
      </c>
      <c r="B74" s="63" t="str">
        <f>IFERROR(INDEX(_Datos!B:B,MATCH(67,_Datos!$I:$I,0)),"")</f>
        <v/>
      </c>
      <c r="C74" s="63" t="str">
        <f>IFERROR(INDEX(_Datos!C:C,MATCH(67,_Datos!$I:$I,0)),"")</f>
        <v/>
      </c>
      <c r="D74" s="64" t="str">
        <f>IFERROR(INDEX(_Datos!D:D,MATCH(67,_Datos!$I:$I,0)),"")</f>
        <v/>
      </c>
      <c r="E74" s="65" t="str">
        <f>IFERROR(INDEX(_Datos!E:E,MATCH(67,_Datos!$I:$I,0)),"")</f>
        <v/>
      </c>
      <c r="F74" s="63" t="str">
        <f>IFERROR(INDEX(_Datos!F:F,MATCH(67,_Datos!$I:$I,0)),"")</f>
        <v/>
      </c>
      <c r="G74" s="63" t="str">
        <f>IFERROR(INDEX(_Datos!G:G,MATCH(67,_Datos!$I:$I,0)),"")</f>
        <v/>
      </c>
      <c r="H74" s="66" t="str">
        <f>IFERROR(INDEX(_Datos!H:H,MATCH(67,_Datos!$I:$I,0)),"")</f>
        <v/>
      </c>
    </row>
    <row r="75" spans="1:8" x14ac:dyDescent="0.2">
      <c r="A75" s="67" t="str">
        <f>IFERROR(INDEX(_Datos!A:A,MATCH(68,_Datos!$I:$I,0)),"")</f>
        <v/>
      </c>
      <c r="B75" s="67" t="str">
        <f>IFERROR(INDEX(_Datos!B:B,MATCH(68,_Datos!$I:$I,0)),"")</f>
        <v/>
      </c>
      <c r="C75" s="67" t="str">
        <f>IFERROR(INDEX(_Datos!C:C,MATCH(68,_Datos!$I:$I,0)),"")</f>
        <v/>
      </c>
      <c r="D75" s="68" t="str">
        <f>IFERROR(INDEX(_Datos!D:D,MATCH(68,_Datos!$I:$I,0)),"")</f>
        <v/>
      </c>
      <c r="E75" s="69" t="str">
        <f>IFERROR(INDEX(_Datos!E:E,MATCH(68,_Datos!$I:$I,0)),"")</f>
        <v/>
      </c>
      <c r="F75" s="67" t="str">
        <f>IFERROR(INDEX(_Datos!F:F,MATCH(68,_Datos!$I:$I,0)),"")</f>
        <v/>
      </c>
      <c r="G75" s="67" t="str">
        <f>IFERROR(INDEX(_Datos!G:G,MATCH(68,_Datos!$I:$I,0)),"")</f>
        <v/>
      </c>
      <c r="H75" s="70" t="str">
        <f>IFERROR(INDEX(_Datos!H:H,MATCH(68,_Datos!$I:$I,0)),"")</f>
        <v/>
      </c>
    </row>
    <row r="76" spans="1:8" x14ac:dyDescent="0.2">
      <c r="A76" s="63" t="str">
        <f>IFERROR(INDEX(_Datos!A:A,MATCH(69,_Datos!$I:$I,0)),"")</f>
        <v/>
      </c>
      <c r="B76" s="63" t="str">
        <f>IFERROR(INDEX(_Datos!B:B,MATCH(69,_Datos!$I:$I,0)),"")</f>
        <v/>
      </c>
      <c r="C76" s="63" t="str">
        <f>IFERROR(INDEX(_Datos!C:C,MATCH(69,_Datos!$I:$I,0)),"")</f>
        <v/>
      </c>
      <c r="D76" s="64" t="str">
        <f>IFERROR(INDEX(_Datos!D:D,MATCH(69,_Datos!$I:$I,0)),"")</f>
        <v/>
      </c>
      <c r="E76" s="65" t="str">
        <f>IFERROR(INDEX(_Datos!E:E,MATCH(69,_Datos!$I:$I,0)),"")</f>
        <v/>
      </c>
      <c r="F76" s="63" t="str">
        <f>IFERROR(INDEX(_Datos!F:F,MATCH(69,_Datos!$I:$I,0)),"")</f>
        <v/>
      </c>
      <c r="G76" s="63" t="str">
        <f>IFERROR(INDEX(_Datos!G:G,MATCH(69,_Datos!$I:$I,0)),"")</f>
        <v/>
      </c>
      <c r="H76" s="66" t="str">
        <f>IFERROR(INDEX(_Datos!H:H,MATCH(69,_Datos!$I:$I,0)),"")</f>
        <v/>
      </c>
    </row>
    <row r="77" spans="1:8" x14ac:dyDescent="0.2">
      <c r="A77" s="67" t="str">
        <f>IFERROR(INDEX(_Datos!A:A,MATCH(70,_Datos!$I:$I,0)),"")</f>
        <v/>
      </c>
      <c r="B77" s="67" t="str">
        <f>IFERROR(INDEX(_Datos!B:B,MATCH(70,_Datos!$I:$I,0)),"")</f>
        <v/>
      </c>
      <c r="C77" s="67" t="str">
        <f>IFERROR(INDEX(_Datos!C:C,MATCH(70,_Datos!$I:$I,0)),"")</f>
        <v/>
      </c>
      <c r="D77" s="68" t="str">
        <f>IFERROR(INDEX(_Datos!D:D,MATCH(70,_Datos!$I:$I,0)),"")</f>
        <v/>
      </c>
      <c r="E77" s="69" t="str">
        <f>IFERROR(INDEX(_Datos!E:E,MATCH(70,_Datos!$I:$I,0)),"")</f>
        <v/>
      </c>
      <c r="F77" s="67" t="str">
        <f>IFERROR(INDEX(_Datos!F:F,MATCH(70,_Datos!$I:$I,0)),"")</f>
        <v/>
      </c>
      <c r="G77" s="67" t="str">
        <f>IFERROR(INDEX(_Datos!G:G,MATCH(70,_Datos!$I:$I,0)),"")</f>
        <v/>
      </c>
      <c r="H77" s="70" t="str">
        <f>IFERROR(INDEX(_Datos!H:H,MATCH(70,_Datos!$I:$I,0)),"")</f>
        <v/>
      </c>
    </row>
    <row r="78" spans="1:8" x14ac:dyDescent="0.2">
      <c r="A78" s="63" t="str">
        <f>IFERROR(INDEX(_Datos!A:A,MATCH(71,_Datos!$I:$I,0)),"")</f>
        <v/>
      </c>
      <c r="B78" s="63" t="str">
        <f>IFERROR(INDEX(_Datos!B:B,MATCH(71,_Datos!$I:$I,0)),"")</f>
        <v/>
      </c>
      <c r="C78" s="63" t="str">
        <f>IFERROR(INDEX(_Datos!C:C,MATCH(71,_Datos!$I:$I,0)),"")</f>
        <v/>
      </c>
      <c r="D78" s="64" t="str">
        <f>IFERROR(INDEX(_Datos!D:D,MATCH(71,_Datos!$I:$I,0)),"")</f>
        <v/>
      </c>
      <c r="E78" s="65" t="str">
        <f>IFERROR(INDEX(_Datos!E:E,MATCH(71,_Datos!$I:$I,0)),"")</f>
        <v/>
      </c>
      <c r="F78" s="63" t="str">
        <f>IFERROR(INDEX(_Datos!F:F,MATCH(71,_Datos!$I:$I,0)),"")</f>
        <v/>
      </c>
      <c r="G78" s="63" t="str">
        <f>IFERROR(INDEX(_Datos!G:G,MATCH(71,_Datos!$I:$I,0)),"")</f>
        <v/>
      </c>
      <c r="H78" s="66" t="str">
        <f>IFERROR(INDEX(_Datos!H:H,MATCH(71,_Datos!$I:$I,0)),"")</f>
        <v/>
      </c>
    </row>
    <row r="79" spans="1:8" x14ac:dyDescent="0.2">
      <c r="A79" s="67" t="str">
        <f>IFERROR(INDEX(_Datos!A:A,MATCH(72,_Datos!$I:$I,0)),"")</f>
        <v/>
      </c>
      <c r="B79" s="67" t="str">
        <f>IFERROR(INDEX(_Datos!B:B,MATCH(72,_Datos!$I:$I,0)),"")</f>
        <v/>
      </c>
      <c r="C79" s="67" t="str">
        <f>IFERROR(INDEX(_Datos!C:C,MATCH(72,_Datos!$I:$I,0)),"")</f>
        <v/>
      </c>
      <c r="D79" s="68" t="str">
        <f>IFERROR(INDEX(_Datos!D:D,MATCH(72,_Datos!$I:$I,0)),"")</f>
        <v/>
      </c>
      <c r="E79" s="69" t="str">
        <f>IFERROR(INDEX(_Datos!E:E,MATCH(72,_Datos!$I:$I,0)),"")</f>
        <v/>
      </c>
      <c r="F79" s="67" t="str">
        <f>IFERROR(INDEX(_Datos!F:F,MATCH(72,_Datos!$I:$I,0)),"")</f>
        <v/>
      </c>
      <c r="G79" s="67" t="str">
        <f>IFERROR(INDEX(_Datos!G:G,MATCH(72,_Datos!$I:$I,0)),"")</f>
        <v/>
      </c>
      <c r="H79" s="70" t="str">
        <f>IFERROR(INDEX(_Datos!H:H,MATCH(72,_Datos!$I:$I,0)),"")</f>
        <v/>
      </c>
    </row>
    <row r="80" spans="1:8" x14ac:dyDescent="0.2">
      <c r="A80" s="63" t="str">
        <f>IFERROR(INDEX(_Datos!A:A,MATCH(73,_Datos!$I:$I,0)),"")</f>
        <v/>
      </c>
      <c r="B80" s="63" t="str">
        <f>IFERROR(INDEX(_Datos!B:B,MATCH(73,_Datos!$I:$I,0)),"")</f>
        <v/>
      </c>
      <c r="C80" s="63" t="str">
        <f>IFERROR(INDEX(_Datos!C:C,MATCH(73,_Datos!$I:$I,0)),"")</f>
        <v/>
      </c>
      <c r="D80" s="64" t="str">
        <f>IFERROR(INDEX(_Datos!D:D,MATCH(73,_Datos!$I:$I,0)),"")</f>
        <v/>
      </c>
      <c r="E80" s="65" t="str">
        <f>IFERROR(INDEX(_Datos!E:E,MATCH(73,_Datos!$I:$I,0)),"")</f>
        <v/>
      </c>
      <c r="F80" s="63" t="str">
        <f>IFERROR(INDEX(_Datos!F:F,MATCH(73,_Datos!$I:$I,0)),"")</f>
        <v/>
      </c>
      <c r="G80" s="63" t="str">
        <f>IFERROR(INDEX(_Datos!G:G,MATCH(73,_Datos!$I:$I,0)),"")</f>
        <v/>
      </c>
      <c r="H80" s="66" t="str">
        <f>IFERROR(INDEX(_Datos!H:H,MATCH(73,_Datos!$I:$I,0)),"")</f>
        <v/>
      </c>
    </row>
    <row r="81" spans="1:8" x14ac:dyDescent="0.2">
      <c r="A81" s="67" t="str">
        <f>IFERROR(INDEX(_Datos!A:A,MATCH(74,_Datos!$I:$I,0)),"")</f>
        <v/>
      </c>
      <c r="B81" s="67" t="str">
        <f>IFERROR(INDEX(_Datos!B:B,MATCH(74,_Datos!$I:$I,0)),"")</f>
        <v/>
      </c>
      <c r="C81" s="67" t="str">
        <f>IFERROR(INDEX(_Datos!C:C,MATCH(74,_Datos!$I:$I,0)),"")</f>
        <v/>
      </c>
      <c r="D81" s="68" t="str">
        <f>IFERROR(INDEX(_Datos!D:D,MATCH(74,_Datos!$I:$I,0)),"")</f>
        <v/>
      </c>
      <c r="E81" s="69" t="str">
        <f>IFERROR(INDEX(_Datos!E:E,MATCH(74,_Datos!$I:$I,0)),"")</f>
        <v/>
      </c>
      <c r="F81" s="67" t="str">
        <f>IFERROR(INDEX(_Datos!F:F,MATCH(74,_Datos!$I:$I,0)),"")</f>
        <v/>
      </c>
      <c r="G81" s="67" t="str">
        <f>IFERROR(INDEX(_Datos!G:G,MATCH(74,_Datos!$I:$I,0)),"")</f>
        <v/>
      </c>
      <c r="H81" s="70" t="str">
        <f>IFERROR(INDEX(_Datos!H:H,MATCH(74,_Datos!$I:$I,0)),"")</f>
        <v/>
      </c>
    </row>
    <row r="82" spans="1:8" x14ac:dyDescent="0.2">
      <c r="A82" s="63" t="str">
        <f>IFERROR(INDEX(_Datos!A:A,MATCH(75,_Datos!$I:$I,0)),"")</f>
        <v/>
      </c>
      <c r="B82" s="63" t="str">
        <f>IFERROR(INDEX(_Datos!B:B,MATCH(75,_Datos!$I:$I,0)),"")</f>
        <v/>
      </c>
      <c r="C82" s="63" t="str">
        <f>IFERROR(INDEX(_Datos!C:C,MATCH(75,_Datos!$I:$I,0)),"")</f>
        <v/>
      </c>
      <c r="D82" s="64" t="str">
        <f>IFERROR(INDEX(_Datos!D:D,MATCH(75,_Datos!$I:$I,0)),"")</f>
        <v/>
      </c>
      <c r="E82" s="65" t="str">
        <f>IFERROR(INDEX(_Datos!E:E,MATCH(75,_Datos!$I:$I,0)),"")</f>
        <v/>
      </c>
      <c r="F82" s="63" t="str">
        <f>IFERROR(INDEX(_Datos!F:F,MATCH(75,_Datos!$I:$I,0)),"")</f>
        <v/>
      </c>
      <c r="G82" s="63" t="str">
        <f>IFERROR(INDEX(_Datos!G:G,MATCH(75,_Datos!$I:$I,0)),"")</f>
        <v/>
      </c>
      <c r="H82" s="66" t="str">
        <f>IFERROR(INDEX(_Datos!H:H,MATCH(75,_Datos!$I:$I,0)),"")</f>
        <v/>
      </c>
    </row>
    <row r="83" spans="1:8" x14ac:dyDescent="0.2">
      <c r="A83" s="67" t="str">
        <f>IFERROR(INDEX(_Datos!A:A,MATCH(76,_Datos!$I:$I,0)),"")</f>
        <v/>
      </c>
      <c r="B83" s="67" t="str">
        <f>IFERROR(INDEX(_Datos!B:B,MATCH(76,_Datos!$I:$I,0)),"")</f>
        <v/>
      </c>
      <c r="C83" s="67" t="str">
        <f>IFERROR(INDEX(_Datos!C:C,MATCH(76,_Datos!$I:$I,0)),"")</f>
        <v/>
      </c>
      <c r="D83" s="68" t="str">
        <f>IFERROR(INDEX(_Datos!D:D,MATCH(76,_Datos!$I:$I,0)),"")</f>
        <v/>
      </c>
      <c r="E83" s="69" t="str">
        <f>IFERROR(INDEX(_Datos!E:E,MATCH(76,_Datos!$I:$I,0)),"")</f>
        <v/>
      </c>
      <c r="F83" s="67" t="str">
        <f>IFERROR(INDEX(_Datos!F:F,MATCH(76,_Datos!$I:$I,0)),"")</f>
        <v/>
      </c>
      <c r="G83" s="67" t="str">
        <f>IFERROR(INDEX(_Datos!G:G,MATCH(76,_Datos!$I:$I,0)),"")</f>
        <v/>
      </c>
      <c r="H83" s="70" t="str">
        <f>IFERROR(INDEX(_Datos!H:H,MATCH(76,_Datos!$I:$I,0)),"")</f>
        <v/>
      </c>
    </row>
    <row r="84" spans="1:8" x14ac:dyDescent="0.2">
      <c r="A84" s="63" t="str">
        <f>IFERROR(INDEX(_Datos!A:A,MATCH(77,_Datos!$I:$I,0)),"")</f>
        <v/>
      </c>
      <c r="B84" s="63" t="str">
        <f>IFERROR(INDEX(_Datos!B:B,MATCH(77,_Datos!$I:$I,0)),"")</f>
        <v/>
      </c>
      <c r="C84" s="63" t="str">
        <f>IFERROR(INDEX(_Datos!C:C,MATCH(77,_Datos!$I:$I,0)),"")</f>
        <v/>
      </c>
      <c r="D84" s="64" t="str">
        <f>IFERROR(INDEX(_Datos!D:D,MATCH(77,_Datos!$I:$I,0)),"")</f>
        <v/>
      </c>
      <c r="E84" s="65" t="str">
        <f>IFERROR(INDEX(_Datos!E:E,MATCH(77,_Datos!$I:$I,0)),"")</f>
        <v/>
      </c>
      <c r="F84" s="63" t="str">
        <f>IFERROR(INDEX(_Datos!F:F,MATCH(77,_Datos!$I:$I,0)),"")</f>
        <v/>
      </c>
      <c r="G84" s="63" t="str">
        <f>IFERROR(INDEX(_Datos!G:G,MATCH(77,_Datos!$I:$I,0)),"")</f>
        <v/>
      </c>
      <c r="H84" s="66" t="str">
        <f>IFERROR(INDEX(_Datos!H:H,MATCH(77,_Datos!$I:$I,0)),"")</f>
        <v/>
      </c>
    </row>
    <row r="85" spans="1:8" x14ac:dyDescent="0.2">
      <c r="A85" s="67" t="str">
        <f>IFERROR(INDEX(_Datos!A:A,MATCH(78,_Datos!$I:$I,0)),"")</f>
        <v/>
      </c>
      <c r="B85" s="67" t="str">
        <f>IFERROR(INDEX(_Datos!B:B,MATCH(78,_Datos!$I:$I,0)),"")</f>
        <v/>
      </c>
      <c r="C85" s="67" t="str">
        <f>IFERROR(INDEX(_Datos!C:C,MATCH(78,_Datos!$I:$I,0)),"")</f>
        <v/>
      </c>
      <c r="D85" s="68" t="str">
        <f>IFERROR(INDEX(_Datos!D:D,MATCH(78,_Datos!$I:$I,0)),"")</f>
        <v/>
      </c>
      <c r="E85" s="69" t="str">
        <f>IFERROR(INDEX(_Datos!E:E,MATCH(78,_Datos!$I:$I,0)),"")</f>
        <v/>
      </c>
      <c r="F85" s="67" t="str">
        <f>IFERROR(INDEX(_Datos!F:F,MATCH(78,_Datos!$I:$I,0)),"")</f>
        <v/>
      </c>
      <c r="G85" s="67" t="str">
        <f>IFERROR(INDEX(_Datos!G:G,MATCH(78,_Datos!$I:$I,0)),"")</f>
        <v/>
      </c>
      <c r="H85" s="70" t="str">
        <f>IFERROR(INDEX(_Datos!H:H,MATCH(78,_Datos!$I:$I,0)),"")</f>
        <v/>
      </c>
    </row>
    <row r="86" spans="1:8" x14ac:dyDescent="0.2">
      <c r="A86" s="63" t="str">
        <f>IFERROR(INDEX(_Datos!A:A,MATCH(79,_Datos!$I:$I,0)),"")</f>
        <v/>
      </c>
      <c r="B86" s="63" t="str">
        <f>IFERROR(INDEX(_Datos!B:B,MATCH(79,_Datos!$I:$I,0)),"")</f>
        <v/>
      </c>
      <c r="C86" s="63" t="str">
        <f>IFERROR(INDEX(_Datos!C:C,MATCH(79,_Datos!$I:$I,0)),"")</f>
        <v/>
      </c>
      <c r="D86" s="64" t="str">
        <f>IFERROR(INDEX(_Datos!D:D,MATCH(79,_Datos!$I:$I,0)),"")</f>
        <v/>
      </c>
      <c r="E86" s="65" t="str">
        <f>IFERROR(INDEX(_Datos!E:E,MATCH(79,_Datos!$I:$I,0)),"")</f>
        <v/>
      </c>
      <c r="F86" s="63" t="str">
        <f>IFERROR(INDEX(_Datos!F:F,MATCH(79,_Datos!$I:$I,0)),"")</f>
        <v/>
      </c>
      <c r="G86" s="63" t="str">
        <f>IFERROR(INDEX(_Datos!G:G,MATCH(79,_Datos!$I:$I,0)),"")</f>
        <v/>
      </c>
      <c r="H86" s="66" t="str">
        <f>IFERROR(INDEX(_Datos!H:H,MATCH(79,_Datos!$I:$I,0)),"")</f>
        <v/>
      </c>
    </row>
    <row r="87" spans="1:8" x14ac:dyDescent="0.2">
      <c r="A87" s="67" t="str">
        <f>IFERROR(INDEX(_Datos!A:A,MATCH(80,_Datos!$I:$I,0)),"")</f>
        <v/>
      </c>
      <c r="B87" s="67" t="str">
        <f>IFERROR(INDEX(_Datos!B:B,MATCH(80,_Datos!$I:$I,0)),"")</f>
        <v/>
      </c>
      <c r="C87" s="67" t="str">
        <f>IFERROR(INDEX(_Datos!C:C,MATCH(80,_Datos!$I:$I,0)),"")</f>
        <v/>
      </c>
      <c r="D87" s="68" t="str">
        <f>IFERROR(INDEX(_Datos!D:D,MATCH(80,_Datos!$I:$I,0)),"")</f>
        <v/>
      </c>
      <c r="E87" s="69" t="str">
        <f>IFERROR(INDEX(_Datos!E:E,MATCH(80,_Datos!$I:$I,0)),"")</f>
        <v/>
      </c>
      <c r="F87" s="67" t="str">
        <f>IFERROR(INDEX(_Datos!F:F,MATCH(80,_Datos!$I:$I,0)),"")</f>
        <v/>
      </c>
      <c r="G87" s="67" t="str">
        <f>IFERROR(INDEX(_Datos!G:G,MATCH(80,_Datos!$I:$I,0)),"")</f>
        <v/>
      </c>
      <c r="H87" s="70" t="str">
        <f>IFERROR(INDEX(_Datos!H:H,MATCH(80,_Datos!$I:$I,0)),"")</f>
        <v/>
      </c>
    </row>
    <row r="88" spans="1:8" x14ac:dyDescent="0.2">
      <c r="A88" s="63" t="str">
        <f>IFERROR(INDEX(_Datos!A:A,MATCH(81,_Datos!$I:$I,0)),"")</f>
        <v/>
      </c>
      <c r="B88" s="63" t="str">
        <f>IFERROR(INDEX(_Datos!B:B,MATCH(81,_Datos!$I:$I,0)),"")</f>
        <v/>
      </c>
      <c r="C88" s="63" t="str">
        <f>IFERROR(INDEX(_Datos!C:C,MATCH(81,_Datos!$I:$I,0)),"")</f>
        <v/>
      </c>
      <c r="D88" s="64" t="str">
        <f>IFERROR(INDEX(_Datos!D:D,MATCH(81,_Datos!$I:$I,0)),"")</f>
        <v/>
      </c>
      <c r="E88" s="65" t="str">
        <f>IFERROR(INDEX(_Datos!E:E,MATCH(81,_Datos!$I:$I,0)),"")</f>
        <v/>
      </c>
      <c r="F88" s="63" t="str">
        <f>IFERROR(INDEX(_Datos!F:F,MATCH(81,_Datos!$I:$I,0)),"")</f>
        <v/>
      </c>
      <c r="G88" s="63" t="str">
        <f>IFERROR(INDEX(_Datos!G:G,MATCH(81,_Datos!$I:$I,0)),"")</f>
        <v/>
      </c>
      <c r="H88" s="66" t="str">
        <f>IFERROR(INDEX(_Datos!H:H,MATCH(81,_Datos!$I:$I,0)),"")</f>
        <v/>
      </c>
    </row>
    <row r="89" spans="1:8" x14ac:dyDescent="0.2">
      <c r="A89" s="67" t="str">
        <f>IFERROR(INDEX(_Datos!A:A,MATCH(82,_Datos!$I:$I,0)),"")</f>
        <v/>
      </c>
      <c r="B89" s="67" t="str">
        <f>IFERROR(INDEX(_Datos!B:B,MATCH(82,_Datos!$I:$I,0)),"")</f>
        <v/>
      </c>
      <c r="C89" s="67" t="str">
        <f>IFERROR(INDEX(_Datos!C:C,MATCH(82,_Datos!$I:$I,0)),"")</f>
        <v/>
      </c>
      <c r="D89" s="68" t="str">
        <f>IFERROR(INDEX(_Datos!D:D,MATCH(82,_Datos!$I:$I,0)),"")</f>
        <v/>
      </c>
      <c r="E89" s="69" t="str">
        <f>IFERROR(INDEX(_Datos!E:E,MATCH(82,_Datos!$I:$I,0)),"")</f>
        <v/>
      </c>
      <c r="F89" s="67" t="str">
        <f>IFERROR(INDEX(_Datos!F:F,MATCH(82,_Datos!$I:$I,0)),"")</f>
        <v/>
      </c>
      <c r="G89" s="67" t="str">
        <f>IFERROR(INDEX(_Datos!G:G,MATCH(82,_Datos!$I:$I,0)),"")</f>
        <v/>
      </c>
      <c r="H89" s="70" t="str">
        <f>IFERROR(INDEX(_Datos!H:H,MATCH(82,_Datos!$I:$I,0)),"")</f>
        <v/>
      </c>
    </row>
    <row r="90" spans="1:8" x14ac:dyDescent="0.2">
      <c r="A90" s="63" t="str">
        <f>IFERROR(INDEX(_Datos!A:A,MATCH(83,_Datos!$I:$I,0)),"")</f>
        <v/>
      </c>
      <c r="B90" s="63" t="str">
        <f>IFERROR(INDEX(_Datos!B:B,MATCH(83,_Datos!$I:$I,0)),"")</f>
        <v/>
      </c>
      <c r="C90" s="63" t="str">
        <f>IFERROR(INDEX(_Datos!C:C,MATCH(83,_Datos!$I:$I,0)),"")</f>
        <v/>
      </c>
      <c r="D90" s="64" t="str">
        <f>IFERROR(INDEX(_Datos!D:D,MATCH(83,_Datos!$I:$I,0)),"")</f>
        <v/>
      </c>
      <c r="E90" s="65" t="str">
        <f>IFERROR(INDEX(_Datos!E:E,MATCH(83,_Datos!$I:$I,0)),"")</f>
        <v/>
      </c>
      <c r="F90" s="63" t="str">
        <f>IFERROR(INDEX(_Datos!F:F,MATCH(83,_Datos!$I:$I,0)),"")</f>
        <v/>
      </c>
      <c r="G90" s="63" t="str">
        <f>IFERROR(INDEX(_Datos!G:G,MATCH(83,_Datos!$I:$I,0)),"")</f>
        <v/>
      </c>
      <c r="H90" s="66" t="str">
        <f>IFERROR(INDEX(_Datos!H:H,MATCH(83,_Datos!$I:$I,0)),"")</f>
        <v/>
      </c>
    </row>
    <row r="91" spans="1:8" x14ac:dyDescent="0.2">
      <c r="A91" s="67" t="str">
        <f>IFERROR(INDEX(_Datos!A:A,MATCH(84,_Datos!$I:$I,0)),"")</f>
        <v/>
      </c>
      <c r="B91" s="67" t="str">
        <f>IFERROR(INDEX(_Datos!B:B,MATCH(84,_Datos!$I:$I,0)),"")</f>
        <v/>
      </c>
      <c r="C91" s="67" t="str">
        <f>IFERROR(INDEX(_Datos!C:C,MATCH(84,_Datos!$I:$I,0)),"")</f>
        <v/>
      </c>
      <c r="D91" s="68" t="str">
        <f>IFERROR(INDEX(_Datos!D:D,MATCH(84,_Datos!$I:$I,0)),"")</f>
        <v/>
      </c>
      <c r="E91" s="69" t="str">
        <f>IFERROR(INDEX(_Datos!E:E,MATCH(84,_Datos!$I:$I,0)),"")</f>
        <v/>
      </c>
      <c r="F91" s="67" t="str">
        <f>IFERROR(INDEX(_Datos!F:F,MATCH(84,_Datos!$I:$I,0)),"")</f>
        <v/>
      </c>
      <c r="G91" s="67" t="str">
        <f>IFERROR(INDEX(_Datos!G:G,MATCH(84,_Datos!$I:$I,0)),"")</f>
        <v/>
      </c>
      <c r="H91" s="70" t="str">
        <f>IFERROR(INDEX(_Datos!H:H,MATCH(84,_Datos!$I:$I,0)),"")</f>
        <v/>
      </c>
    </row>
    <row r="92" spans="1:8" x14ac:dyDescent="0.2">
      <c r="A92" s="63" t="str">
        <f>IFERROR(INDEX(_Datos!A:A,MATCH(85,_Datos!$I:$I,0)),"")</f>
        <v/>
      </c>
      <c r="B92" s="63" t="str">
        <f>IFERROR(INDEX(_Datos!B:B,MATCH(85,_Datos!$I:$I,0)),"")</f>
        <v/>
      </c>
      <c r="C92" s="63" t="str">
        <f>IFERROR(INDEX(_Datos!C:C,MATCH(85,_Datos!$I:$I,0)),"")</f>
        <v/>
      </c>
      <c r="D92" s="64" t="str">
        <f>IFERROR(INDEX(_Datos!D:D,MATCH(85,_Datos!$I:$I,0)),"")</f>
        <v/>
      </c>
      <c r="E92" s="65" t="str">
        <f>IFERROR(INDEX(_Datos!E:E,MATCH(85,_Datos!$I:$I,0)),"")</f>
        <v/>
      </c>
      <c r="F92" s="63" t="str">
        <f>IFERROR(INDEX(_Datos!F:F,MATCH(85,_Datos!$I:$I,0)),"")</f>
        <v/>
      </c>
      <c r="G92" s="63" t="str">
        <f>IFERROR(INDEX(_Datos!G:G,MATCH(85,_Datos!$I:$I,0)),"")</f>
        <v/>
      </c>
      <c r="H92" s="66" t="str">
        <f>IFERROR(INDEX(_Datos!H:H,MATCH(85,_Datos!$I:$I,0)),"")</f>
        <v/>
      </c>
    </row>
    <row r="93" spans="1:8" x14ac:dyDescent="0.2">
      <c r="A93" s="67" t="str">
        <f>IFERROR(INDEX(_Datos!A:A,MATCH(86,_Datos!$I:$I,0)),"")</f>
        <v/>
      </c>
      <c r="B93" s="67" t="str">
        <f>IFERROR(INDEX(_Datos!B:B,MATCH(86,_Datos!$I:$I,0)),"")</f>
        <v/>
      </c>
      <c r="C93" s="67" t="str">
        <f>IFERROR(INDEX(_Datos!C:C,MATCH(86,_Datos!$I:$I,0)),"")</f>
        <v/>
      </c>
      <c r="D93" s="68" t="str">
        <f>IFERROR(INDEX(_Datos!D:D,MATCH(86,_Datos!$I:$I,0)),"")</f>
        <v/>
      </c>
      <c r="E93" s="69" t="str">
        <f>IFERROR(INDEX(_Datos!E:E,MATCH(86,_Datos!$I:$I,0)),"")</f>
        <v/>
      </c>
      <c r="F93" s="67" t="str">
        <f>IFERROR(INDEX(_Datos!F:F,MATCH(86,_Datos!$I:$I,0)),"")</f>
        <v/>
      </c>
      <c r="G93" s="67" t="str">
        <f>IFERROR(INDEX(_Datos!G:G,MATCH(86,_Datos!$I:$I,0)),"")</f>
        <v/>
      </c>
      <c r="H93" s="70" t="str">
        <f>IFERROR(INDEX(_Datos!H:H,MATCH(86,_Datos!$I:$I,0)),"")</f>
        <v/>
      </c>
    </row>
    <row r="94" spans="1:8" x14ac:dyDescent="0.2">
      <c r="A94" s="63" t="str">
        <f>IFERROR(INDEX(_Datos!A:A,MATCH(87,_Datos!$I:$I,0)),"")</f>
        <v/>
      </c>
      <c r="B94" s="63" t="str">
        <f>IFERROR(INDEX(_Datos!B:B,MATCH(87,_Datos!$I:$I,0)),"")</f>
        <v/>
      </c>
      <c r="C94" s="63" t="str">
        <f>IFERROR(INDEX(_Datos!C:C,MATCH(87,_Datos!$I:$I,0)),"")</f>
        <v/>
      </c>
      <c r="D94" s="64" t="str">
        <f>IFERROR(INDEX(_Datos!D:D,MATCH(87,_Datos!$I:$I,0)),"")</f>
        <v/>
      </c>
      <c r="E94" s="65" t="str">
        <f>IFERROR(INDEX(_Datos!E:E,MATCH(87,_Datos!$I:$I,0)),"")</f>
        <v/>
      </c>
      <c r="F94" s="63" t="str">
        <f>IFERROR(INDEX(_Datos!F:F,MATCH(87,_Datos!$I:$I,0)),"")</f>
        <v/>
      </c>
      <c r="G94" s="63" t="str">
        <f>IFERROR(INDEX(_Datos!G:G,MATCH(87,_Datos!$I:$I,0)),"")</f>
        <v/>
      </c>
      <c r="H94" s="66" t="str">
        <f>IFERROR(INDEX(_Datos!H:H,MATCH(87,_Datos!$I:$I,0)),"")</f>
        <v/>
      </c>
    </row>
    <row r="95" spans="1:8" x14ac:dyDescent="0.2">
      <c r="A95" s="67" t="str">
        <f>IFERROR(INDEX(_Datos!A:A,MATCH(88,_Datos!$I:$I,0)),"")</f>
        <v/>
      </c>
      <c r="B95" s="67" t="str">
        <f>IFERROR(INDEX(_Datos!B:B,MATCH(88,_Datos!$I:$I,0)),"")</f>
        <v/>
      </c>
      <c r="C95" s="67" t="str">
        <f>IFERROR(INDEX(_Datos!C:C,MATCH(88,_Datos!$I:$I,0)),"")</f>
        <v/>
      </c>
      <c r="D95" s="68" t="str">
        <f>IFERROR(INDEX(_Datos!D:D,MATCH(88,_Datos!$I:$I,0)),"")</f>
        <v/>
      </c>
      <c r="E95" s="69" t="str">
        <f>IFERROR(INDEX(_Datos!E:E,MATCH(88,_Datos!$I:$I,0)),"")</f>
        <v/>
      </c>
      <c r="F95" s="67" t="str">
        <f>IFERROR(INDEX(_Datos!F:F,MATCH(88,_Datos!$I:$I,0)),"")</f>
        <v/>
      </c>
      <c r="G95" s="67" t="str">
        <f>IFERROR(INDEX(_Datos!G:G,MATCH(88,_Datos!$I:$I,0)),"")</f>
        <v/>
      </c>
      <c r="H95" s="70" t="str">
        <f>IFERROR(INDEX(_Datos!H:H,MATCH(88,_Datos!$I:$I,0)),"")</f>
        <v/>
      </c>
    </row>
    <row r="96" spans="1:8" x14ac:dyDescent="0.2">
      <c r="A96" s="63" t="str">
        <f>IFERROR(INDEX(_Datos!A:A,MATCH(89,_Datos!$I:$I,0)),"")</f>
        <v/>
      </c>
      <c r="B96" s="63" t="str">
        <f>IFERROR(INDEX(_Datos!B:B,MATCH(89,_Datos!$I:$I,0)),"")</f>
        <v/>
      </c>
      <c r="C96" s="63" t="str">
        <f>IFERROR(INDEX(_Datos!C:C,MATCH(89,_Datos!$I:$I,0)),"")</f>
        <v/>
      </c>
      <c r="D96" s="64" t="str">
        <f>IFERROR(INDEX(_Datos!D:D,MATCH(89,_Datos!$I:$I,0)),"")</f>
        <v/>
      </c>
      <c r="E96" s="65" t="str">
        <f>IFERROR(INDEX(_Datos!E:E,MATCH(89,_Datos!$I:$I,0)),"")</f>
        <v/>
      </c>
      <c r="F96" s="63" t="str">
        <f>IFERROR(INDEX(_Datos!F:F,MATCH(89,_Datos!$I:$I,0)),"")</f>
        <v/>
      </c>
      <c r="G96" s="63" t="str">
        <f>IFERROR(INDEX(_Datos!G:G,MATCH(89,_Datos!$I:$I,0)),"")</f>
        <v/>
      </c>
      <c r="H96" s="66" t="str">
        <f>IFERROR(INDEX(_Datos!H:H,MATCH(89,_Datos!$I:$I,0)),"")</f>
        <v/>
      </c>
    </row>
    <row r="97" spans="1:8" x14ac:dyDescent="0.2">
      <c r="A97" s="67" t="str">
        <f>IFERROR(INDEX(_Datos!A:A,MATCH(90,_Datos!$I:$I,0)),"")</f>
        <v/>
      </c>
      <c r="B97" s="67" t="str">
        <f>IFERROR(INDEX(_Datos!B:B,MATCH(90,_Datos!$I:$I,0)),"")</f>
        <v/>
      </c>
      <c r="C97" s="67" t="str">
        <f>IFERROR(INDEX(_Datos!C:C,MATCH(90,_Datos!$I:$I,0)),"")</f>
        <v/>
      </c>
      <c r="D97" s="68" t="str">
        <f>IFERROR(INDEX(_Datos!D:D,MATCH(90,_Datos!$I:$I,0)),"")</f>
        <v/>
      </c>
      <c r="E97" s="69" t="str">
        <f>IFERROR(INDEX(_Datos!E:E,MATCH(90,_Datos!$I:$I,0)),"")</f>
        <v/>
      </c>
      <c r="F97" s="67" t="str">
        <f>IFERROR(INDEX(_Datos!F:F,MATCH(90,_Datos!$I:$I,0)),"")</f>
        <v/>
      </c>
      <c r="G97" s="67" t="str">
        <f>IFERROR(INDEX(_Datos!G:G,MATCH(90,_Datos!$I:$I,0)),"")</f>
        <v/>
      </c>
      <c r="H97" s="70" t="str">
        <f>IFERROR(INDEX(_Datos!H:H,MATCH(90,_Datos!$I:$I,0)),"")</f>
        <v/>
      </c>
    </row>
    <row r="98" spans="1:8" x14ac:dyDescent="0.2">
      <c r="A98" s="63" t="str">
        <f>IFERROR(INDEX(_Datos!A:A,MATCH(91,_Datos!$I:$I,0)),"")</f>
        <v/>
      </c>
      <c r="B98" s="63" t="str">
        <f>IFERROR(INDEX(_Datos!B:B,MATCH(91,_Datos!$I:$I,0)),"")</f>
        <v/>
      </c>
      <c r="C98" s="63" t="str">
        <f>IFERROR(INDEX(_Datos!C:C,MATCH(91,_Datos!$I:$I,0)),"")</f>
        <v/>
      </c>
      <c r="D98" s="64" t="str">
        <f>IFERROR(INDEX(_Datos!D:D,MATCH(91,_Datos!$I:$I,0)),"")</f>
        <v/>
      </c>
      <c r="E98" s="65" t="str">
        <f>IFERROR(INDEX(_Datos!E:E,MATCH(91,_Datos!$I:$I,0)),"")</f>
        <v/>
      </c>
      <c r="F98" s="63" t="str">
        <f>IFERROR(INDEX(_Datos!F:F,MATCH(91,_Datos!$I:$I,0)),"")</f>
        <v/>
      </c>
      <c r="G98" s="63" t="str">
        <f>IFERROR(INDEX(_Datos!G:G,MATCH(91,_Datos!$I:$I,0)),"")</f>
        <v/>
      </c>
      <c r="H98" s="66" t="str">
        <f>IFERROR(INDEX(_Datos!H:H,MATCH(91,_Datos!$I:$I,0)),"")</f>
        <v/>
      </c>
    </row>
    <row r="99" spans="1:8" x14ac:dyDescent="0.2">
      <c r="A99" s="67" t="str">
        <f>IFERROR(INDEX(_Datos!A:A,MATCH(92,_Datos!$I:$I,0)),"")</f>
        <v/>
      </c>
      <c r="B99" s="67" t="str">
        <f>IFERROR(INDEX(_Datos!B:B,MATCH(92,_Datos!$I:$I,0)),"")</f>
        <v/>
      </c>
      <c r="C99" s="67" t="str">
        <f>IFERROR(INDEX(_Datos!C:C,MATCH(92,_Datos!$I:$I,0)),"")</f>
        <v/>
      </c>
      <c r="D99" s="68" t="str">
        <f>IFERROR(INDEX(_Datos!D:D,MATCH(92,_Datos!$I:$I,0)),"")</f>
        <v/>
      </c>
      <c r="E99" s="69" t="str">
        <f>IFERROR(INDEX(_Datos!E:E,MATCH(92,_Datos!$I:$I,0)),"")</f>
        <v/>
      </c>
      <c r="F99" s="67" t="str">
        <f>IFERROR(INDEX(_Datos!F:F,MATCH(92,_Datos!$I:$I,0)),"")</f>
        <v/>
      </c>
      <c r="G99" s="67" t="str">
        <f>IFERROR(INDEX(_Datos!G:G,MATCH(92,_Datos!$I:$I,0)),"")</f>
        <v/>
      </c>
      <c r="H99" s="70" t="str">
        <f>IFERROR(INDEX(_Datos!H:H,MATCH(92,_Datos!$I:$I,0)),"")</f>
        <v/>
      </c>
    </row>
    <row r="100" spans="1:8" x14ac:dyDescent="0.2">
      <c r="A100" s="63" t="str">
        <f>IFERROR(INDEX(_Datos!A:A,MATCH(93,_Datos!$I:$I,0)),"")</f>
        <v/>
      </c>
      <c r="B100" s="63" t="str">
        <f>IFERROR(INDEX(_Datos!B:B,MATCH(93,_Datos!$I:$I,0)),"")</f>
        <v/>
      </c>
      <c r="C100" s="63" t="str">
        <f>IFERROR(INDEX(_Datos!C:C,MATCH(93,_Datos!$I:$I,0)),"")</f>
        <v/>
      </c>
      <c r="D100" s="64" t="str">
        <f>IFERROR(INDEX(_Datos!D:D,MATCH(93,_Datos!$I:$I,0)),"")</f>
        <v/>
      </c>
      <c r="E100" s="65" t="str">
        <f>IFERROR(INDEX(_Datos!E:E,MATCH(93,_Datos!$I:$I,0)),"")</f>
        <v/>
      </c>
      <c r="F100" s="63" t="str">
        <f>IFERROR(INDEX(_Datos!F:F,MATCH(93,_Datos!$I:$I,0)),"")</f>
        <v/>
      </c>
      <c r="G100" s="63" t="str">
        <f>IFERROR(INDEX(_Datos!G:G,MATCH(93,_Datos!$I:$I,0)),"")</f>
        <v/>
      </c>
      <c r="H100" s="66" t="str">
        <f>IFERROR(INDEX(_Datos!H:H,MATCH(93,_Datos!$I:$I,0)),"")</f>
        <v/>
      </c>
    </row>
    <row r="101" spans="1:8" x14ac:dyDescent="0.2">
      <c r="A101" s="67" t="str">
        <f>IFERROR(INDEX(_Datos!A:A,MATCH(94,_Datos!$I:$I,0)),"")</f>
        <v/>
      </c>
      <c r="B101" s="67" t="str">
        <f>IFERROR(INDEX(_Datos!B:B,MATCH(94,_Datos!$I:$I,0)),"")</f>
        <v/>
      </c>
      <c r="C101" s="67" t="str">
        <f>IFERROR(INDEX(_Datos!C:C,MATCH(94,_Datos!$I:$I,0)),"")</f>
        <v/>
      </c>
      <c r="D101" s="68" t="str">
        <f>IFERROR(INDEX(_Datos!D:D,MATCH(94,_Datos!$I:$I,0)),"")</f>
        <v/>
      </c>
      <c r="E101" s="69" t="str">
        <f>IFERROR(INDEX(_Datos!E:E,MATCH(94,_Datos!$I:$I,0)),"")</f>
        <v/>
      </c>
      <c r="F101" s="67" t="str">
        <f>IFERROR(INDEX(_Datos!F:F,MATCH(94,_Datos!$I:$I,0)),"")</f>
        <v/>
      </c>
      <c r="G101" s="67" t="str">
        <f>IFERROR(INDEX(_Datos!G:G,MATCH(94,_Datos!$I:$I,0)),"")</f>
        <v/>
      </c>
      <c r="H101" s="70" t="str">
        <f>IFERROR(INDEX(_Datos!H:H,MATCH(94,_Datos!$I:$I,0)),"")</f>
        <v/>
      </c>
    </row>
    <row r="102" spans="1:8" x14ac:dyDescent="0.2">
      <c r="A102" s="63" t="str">
        <f>IFERROR(INDEX(_Datos!A:A,MATCH(95,_Datos!$I:$I,0)),"")</f>
        <v/>
      </c>
      <c r="B102" s="63" t="str">
        <f>IFERROR(INDEX(_Datos!B:B,MATCH(95,_Datos!$I:$I,0)),"")</f>
        <v/>
      </c>
      <c r="C102" s="63" t="str">
        <f>IFERROR(INDEX(_Datos!C:C,MATCH(95,_Datos!$I:$I,0)),"")</f>
        <v/>
      </c>
      <c r="D102" s="64" t="str">
        <f>IFERROR(INDEX(_Datos!D:D,MATCH(95,_Datos!$I:$I,0)),"")</f>
        <v/>
      </c>
      <c r="E102" s="65" t="str">
        <f>IFERROR(INDEX(_Datos!E:E,MATCH(95,_Datos!$I:$I,0)),"")</f>
        <v/>
      </c>
      <c r="F102" s="63" t="str">
        <f>IFERROR(INDEX(_Datos!F:F,MATCH(95,_Datos!$I:$I,0)),"")</f>
        <v/>
      </c>
      <c r="G102" s="63" t="str">
        <f>IFERROR(INDEX(_Datos!G:G,MATCH(95,_Datos!$I:$I,0)),"")</f>
        <v/>
      </c>
      <c r="H102" s="66" t="str">
        <f>IFERROR(INDEX(_Datos!H:H,MATCH(95,_Datos!$I:$I,0)),"")</f>
        <v/>
      </c>
    </row>
    <row r="103" spans="1:8" x14ac:dyDescent="0.2">
      <c r="A103" s="67" t="str">
        <f>IFERROR(INDEX(_Datos!A:A,MATCH(96,_Datos!$I:$I,0)),"")</f>
        <v/>
      </c>
      <c r="B103" s="67" t="str">
        <f>IFERROR(INDEX(_Datos!B:B,MATCH(96,_Datos!$I:$I,0)),"")</f>
        <v/>
      </c>
      <c r="C103" s="67" t="str">
        <f>IFERROR(INDEX(_Datos!C:C,MATCH(96,_Datos!$I:$I,0)),"")</f>
        <v/>
      </c>
      <c r="D103" s="68" t="str">
        <f>IFERROR(INDEX(_Datos!D:D,MATCH(96,_Datos!$I:$I,0)),"")</f>
        <v/>
      </c>
      <c r="E103" s="69" t="str">
        <f>IFERROR(INDEX(_Datos!E:E,MATCH(96,_Datos!$I:$I,0)),"")</f>
        <v/>
      </c>
      <c r="F103" s="67" t="str">
        <f>IFERROR(INDEX(_Datos!F:F,MATCH(96,_Datos!$I:$I,0)),"")</f>
        <v/>
      </c>
      <c r="G103" s="67" t="str">
        <f>IFERROR(INDEX(_Datos!G:G,MATCH(96,_Datos!$I:$I,0)),"")</f>
        <v/>
      </c>
      <c r="H103" s="70" t="str">
        <f>IFERROR(INDEX(_Datos!H:H,MATCH(96,_Datos!$I:$I,0)),"")</f>
        <v/>
      </c>
    </row>
    <row r="104" spans="1:8" x14ac:dyDescent="0.2">
      <c r="A104" s="63" t="str">
        <f>IFERROR(INDEX(_Datos!A:A,MATCH(97,_Datos!$I:$I,0)),"")</f>
        <v/>
      </c>
      <c r="B104" s="63" t="str">
        <f>IFERROR(INDEX(_Datos!B:B,MATCH(97,_Datos!$I:$I,0)),"")</f>
        <v/>
      </c>
      <c r="C104" s="63" t="str">
        <f>IFERROR(INDEX(_Datos!C:C,MATCH(97,_Datos!$I:$I,0)),"")</f>
        <v/>
      </c>
      <c r="D104" s="64" t="str">
        <f>IFERROR(INDEX(_Datos!D:D,MATCH(97,_Datos!$I:$I,0)),"")</f>
        <v/>
      </c>
      <c r="E104" s="65" t="str">
        <f>IFERROR(INDEX(_Datos!E:E,MATCH(97,_Datos!$I:$I,0)),"")</f>
        <v/>
      </c>
      <c r="F104" s="63" t="str">
        <f>IFERROR(INDEX(_Datos!F:F,MATCH(97,_Datos!$I:$I,0)),"")</f>
        <v/>
      </c>
      <c r="G104" s="63" t="str">
        <f>IFERROR(INDEX(_Datos!G:G,MATCH(97,_Datos!$I:$I,0)),"")</f>
        <v/>
      </c>
      <c r="H104" s="66" t="str">
        <f>IFERROR(INDEX(_Datos!H:H,MATCH(97,_Datos!$I:$I,0)),"")</f>
        <v/>
      </c>
    </row>
    <row r="105" spans="1:8" x14ac:dyDescent="0.2">
      <c r="A105" s="67" t="str">
        <f>IFERROR(INDEX(_Datos!A:A,MATCH(98,_Datos!$I:$I,0)),"")</f>
        <v/>
      </c>
      <c r="B105" s="67" t="str">
        <f>IFERROR(INDEX(_Datos!B:B,MATCH(98,_Datos!$I:$I,0)),"")</f>
        <v/>
      </c>
      <c r="C105" s="67" t="str">
        <f>IFERROR(INDEX(_Datos!C:C,MATCH(98,_Datos!$I:$I,0)),"")</f>
        <v/>
      </c>
      <c r="D105" s="68" t="str">
        <f>IFERROR(INDEX(_Datos!D:D,MATCH(98,_Datos!$I:$I,0)),"")</f>
        <v/>
      </c>
      <c r="E105" s="69" t="str">
        <f>IFERROR(INDEX(_Datos!E:E,MATCH(98,_Datos!$I:$I,0)),"")</f>
        <v/>
      </c>
      <c r="F105" s="67" t="str">
        <f>IFERROR(INDEX(_Datos!F:F,MATCH(98,_Datos!$I:$I,0)),"")</f>
        <v/>
      </c>
      <c r="G105" s="67" t="str">
        <f>IFERROR(INDEX(_Datos!G:G,MATCH(98,_Datos!$I:$I,0)),"")</f>
        <v/>
      </c>
      <c r="H105" s="70" t="str">
        <f>IFERROR(INDEX(_Datos!H:H,MATCH(98,_Datos!$I:$I,0)),"")</f>
        <v/>
      </c>
    </row>
    <row r="106" spans="1:8" x14ac:dyDescent="0.2">
      <c r="A106" s="63" t="str">
        <f>IFERROR(INDEX(_Datos!A:A,MATCH(99,_Datos!$I:$I,0)),"")</f>
        <v/>
      </c>
      <c r="B106" s="63" t="str">
        <f>IFERROR(INDEX(_Datos!B:B,MATCH(99,_Datos!$I:$I,0)),"")</f>
        <v/>
      </c>
      <c r="C106" s="63" t="str">
        <f>IFERROR(INDEX(_Datos!C:C,MATCH(99,_Datos!$I:$I,0)),"")</f>
        <v/>
      </c>
      <c r="D106" s="64" t="str">
        <f>IFERROR(INDEX(_Datos!D:D,MATCH(99,_Datos!$I:$I,0)),"")</f>
        <v/>
      </c>
      <c r="E106" s="65" t="str">
        <f>IFERROR(INDEX(_Datos!E:E,MATCH(99,_Datos!$I:$I,0)),"")</f>
        <v/>
      </c>
      <c r="F106" s="63" t="str">
        <f>IFERROR(INDEX(_Datos!F:F,MATCH(99,_Datos!$I:$I,0)),"")</f>
        <v/>
      </c>
      <c r="G106" s="63" t="str">
        <f>IFERROR(INDEX(_Datos!G:G,MATCH(99,_Datos!$I:$I,0)),"")</f>
        <v/>
      </c>
      <c r="H106" s="66" t="str">
        <f>IFERROR(INDEX(_Datos!H:H,MATCH(99,_Datos!$I:$I,0)),"")</f>
        <v/>
      </c>
    </row>
    <row r="107" spans="1:8" x14ac:dyDescent="0.2">
      <c r="A107" s="67" t="str">
        <f>IFERROR(INDEX(_Datos!A:A,MATCH(100,_Datos!$I:$I,0)),"")</f>
        <v/>
      </c>
      <c r="B107" s="67" t="str">
        <f>IFERROR(INDEX(_Datos!B:B,MATCH(100,_Datos!$I:$I,0)),"")</f>
        <v/>
      </c>
      <c r="C107" s="67" t="str">
        <f>IFERROR(INDEX(_Datos!C:C,MATCH(100,_Datos!$I:$I,0)),"")</f>
        <v/>
      </c>
      <c r="D107" s="68" t="str">
        <f>IFERROR(INDEX(_Datos!D:D,MATCH(100,_Datos!$I:$I,0)),"")</f>
        <v/>
      </c>
      <c r="E107" s="69" t="str">
        <f>IFERROR(INDEX(_Datos!E:E,MATCH(100,_Datos!$I:$I,0)),"")</f>
        <v/>
      </c>
      <c r="F107" s="67" t="str">
        <f>IFERROR(INDEX(_Datos!F:F,MATCH(100,_Datos!$I:$I,0)),"")</f>
        <v/>
      </c>
      <c r="G107" s="67" t="str">
        <f>IFERROR(INDEX(_Datos!G:G,MATCH(100,_Datos!$I:$I,0)),"")</f>
        <v/>
      </c>
      <c r="H107" s="70" t="str">
        <f>IFERROR(INDEX(_Datos!H:H,MATCH(100,_Datos!$I:$I,0)),"")</f>
        <v/>
      </c>
    </row>
    <row r="108" spans="1:8" x14ac:dyDescent="0.2">
      <c r="A108" s="63" t="str">
        <f>IFERROR(INDEX(_Datos!A:A,MATCH(101,_Datos!$I:$I,0)),"")</f>
        <v/>
      </c>
      <c r="B108" s="63" t="str">
        <f>IFERROR(INDEX(_Datos!B:B,MATCH(101,_Datos!$I:$I,0)),"")</f>
        <v/>
      </c>
      <c r="C108" s="63" t="str">
        <f>IFERROR(INDEX(_Datos!C:C,MATCH(101,_Datos!$I:$I,0)),"")</f>
        <v/>
      </c>
      <c r="D108" s="64" t="str">
        <f>IFERROR(INDEX(_Datos!D:D,MATCH(101,_Datos!$I:$I,0)),"")</f>
        <v/>
      </c>
      <c r="E108" s="65" t="str">
        <f>IFERROR(INDEX(_Datos!E:E,MATCH(101,_Datos!$I:$I,0)),"")</f>
        <v/>
      </c>
      <c r="F108" s="63" t="str">
        <f>IFERROR(INDEX(_Datos!F:F,MATCH(101,_Datos!$I:$I,0)),"")</f>
        <v/>
      </c>
      <c r="G108" s="63" t="str">
        <f>IFERROR(INDEX(_Datos!G:G,MATCH(101,_Datos!$I:$I,0)),"")</f>
        <v/>
      </c>
      <c r="H108" s="66" t="str">
        <f>IFERROR(INDEX(_Datos!H:H,MATCH(101,_Datos!$I:$I,0)),"")</f>
        <v/>
      </c>
    </row>
    <row r="109" spans="1:8" x14ac:dyDescent="0.2">
      <c r="A109" s="67" t="str">
        <f>IFERROR(INDEX(_Datos!A:A,MATCH(102,_Datos!$I:$I,0)),"")</f>
        <v/>
      </c>
      <c r="B109" s="67" t="str">
        <f>IFERROR(INDEX(_Datos!B:B,MATCH(102,_Datos!$I:$I,0)),"")</f>
        <v/>
      </c>
      <c r="C109" s="67" t="str">
        <f>IFERROR(INDEX(_Datos!C:C,MATCH(102,_Datos!$I:$I,0)),"")</f>
        <v/>
      </c>
      <c r="D109" s="68" t="str">
        <f>IFERROR(INDEX(_Datos!D:D,MATCH(102,_Datos!$I:$I,0)),"")</f>
        <v/>
      </c>
      <c r="E109" s="69" t="str">
        <f>IFERROR(INDEX(_Datos!E:E,MATCH(102,_Datos!$I:$I,0)),"")</f>
        <v/>
      </c>
      <c r="F109" s="67" t="str">
        <f>IFERROR(INDEX(_Datos!F:F,MATCH(102,_Datos!$I:$I,0)),"")</f>
        <v/>
      </c>
      <c r="G109" s="67" t="str">
        <f>IFERROR(INDEX(_Datos!G:G,MATCH(102,_Datos!$I:$I,0)),"")</f>
        <v/>
      </c>
      <c r="H109" s="70" t="str">
        <f>IFERROR(INDEX(_Datos!H:H,MATCH(102,_Datos!$I:$I,0)),"")</f>
        <v/>
      </c>
    </row>
    <row r="110" spans="1:8" x14ac:dyDescent="0.2">
      <c r="A110" s="63" t="str">
        <f>IFERROR(INDEX(_Datos!A:A,MATCH(103,_Datos!$I:$I,0)),"")</f>
        <v/>
      </c>
      <c r="B110" s="63" t="str">
        <f>IFERROR(INDEX(_Datos!B:B,MATCH(103,_Datos!$I:$I,0)),"")</f>
        <v/>
      </c>
      <c r="C110" s="63" t="str">
        <f>IFERROR(INDEX(_Datos!C:C,MATCH(103,_Datos!$I:$I,0)),"")</f>
        <v/>
      </c>
      <c r="D110" s="64" t="str">
        <f>IFERROR(INDEX(_Datos!D:D,MATCH(103,_Datos!$I:$I,0)),"")</f>
        <v/>
      </c>
      <c r="E110" s="65" t="str">
        <f>IFERROR(INDEX(_Datos!E:E,MATCH(103,_Datos!$I:$I,0)),"")</f>
        <v/>
      </c>
      <c r="F110" s="63" t="str">
        <f>IFERROR(INDEX(_Datos!F:F,MATCH(103,_Datos!$I:$I,0)),"")</f>
        <v/>
      </c>
      <c r="G110" s="63" t="str">
        <f>IFERROR(INDEX(_Datos!G:G,MATCH(103,_Datos!$I:$I,0)),"")</f>
        <v/>
      </c>
      <c r="H110" s="66" t="str">
        <f>IFERROR(INDEX(_Datos!H:H,MATCH(103,_Datos!$I:$I,0)),"")</f>
        <v/>
      </c>
    </row>
    <row r="111" spans="1:8" x14ac:dyDescent="0.2">
      <c r="A111" s="67" t="str">
        <f>IFERROR(INDEX(_Datos!A:A,MATCH(104,_Datos!$I:$I,0)),"")</f>
        <v/>
      </c>
      <c r="B111" s="67" t="str">
        <f>IFERROR(INDEX(_Datos!B:B,MATCH(104,_Datos!$I:$I,0)),"")</f>
        <v/>
      </c>
      <c r="C111" s="67" t="str">
        <f>IFERROR(INDEX(_Datos!C:C,MATCH(104,_Datos!$I:$I,0)),"")</f>
        <v/>
      </c>
      <c r="D111" s="68" t="str">
        <f>IFERROR(INDEX(_Datos!D:D,MATCH(104,_Datos!$I:$I,0)),"")</f>
        <v/>
      </c>
      <c r="E111" s="69" t="str">
        <f>IFERROR(INDEX(_Datos!E:E,MATCH(104,_Datos!$I:$I,0)),"")</f>
        <v/>
      </c>
      <c r="F111" s="67" t="str">
        <f>IFERROR(INDEX(_Datos!F:F,MATCH(104,_Datos!$I:$I,0)),"")</f>
        <v/>
      </c>
      <c r="G111" s="67" t="str">
        <f>IFERROR(INDEX(_Datos!G:G,MATCH(104,_Datos!$I:$I,0)),"")</f>
        <v/>
      </c>
      <c r="H111" s="70" t="str">
        <f>IFERROR(INDEX(_Datos!H:H,MATCH(104,_Datos!$I:$I,0)),"")</f>
        <v/>
      </c>
    </row>
    <row r="112" spans="1:8" x14ac:dyDescent="0.2">
      <c r="A112" s="63" t="str">
        <f>IFERROR(INDEX(_Datos!A:A,MATCH(105,_Datos!$I:$I,0)),"")</f>
        <v/>
      </c>
      <c r="B112" s="63" t="str">
        <f>IFERROR(INDEX(_Datos!B:B,MATCH(105,_Datos!$I:$I,0)),"")</f>
        <v/>
      </c>
      <c r="C112" s="63" t="str">
        <f>IFERROR(INDEX(_Datos!C:C,MATCH(105,_Datos!$I:$I,0)),"")</f>
        <v/>
      </c>
      <c r="D112" s="64" t="str">
        <f>IFERROR(INDEX(_Datos!D:D,MATCH(105,_Datos!$I:$I,0)),"")</f>
        <v/>
      </c>
      <c r="E112" s="65" t="str">
        <f>IFERROR(INDEX(_Datos!E:E,MATCH(105,_Datos!$I:$I,0)),"")</f>
        <v/>
      </c>
      <c r="F112" s="63" t="str">
        <f>IFERROR(INDEX(_Datos!F:F,MATCH(105,_Datos!$I:$I,0)),"")</f>
        <v/>
      </c>
      <c r="G112" s="63" t="str">
        <f>IFERROR(INDEX(_Datos!G:G,MATCH(105,_Datos!$I:$I,0)),"")</f>
        <v/>
      </c>
      <c r="H112" s="66" t="str">
        <f>IFERROR(INDEX(_Datos!H:H,MATCH(105,_Datos!$I:$I,0)),"")</f>
        <v/>
      </c>
    </row>
    <row r="113" spans="1:8" x14ac:dyDescent="0.2">
      <c r="A113" s="67" t="str">
        <f>IFERROR(INDEX(_Datos!A:A,MATCH(106,_Datos!$I:$I,0)),"")</f>
        <v/>
      </c>
      <c r="B113" s="67" t="str">
        <f>IFERROR(INDEX(_Datos!B:B,MATCH(106,_Datos!$I:$I,0)),"")</f>
        <v/>
      </c>
      <c r="C113" s="67" t="str">
        <f>IFERROR(INDEX(_Datos!C:C,MATCH(106,_Datos!$I:$I,0)),"")</f>
        <v/>
      </c>
      <c r="D113" s="68" t="str">
        <f>IFERROR(INDEX(_Datos!D:D,MATCH(106,_Datos!$I:$I,0)),"")</f>
        <v/>
      </c>
      <c r="E113" s="69" t="str">
        <f>IFERROR(INDEX(_Datos!E:E,MATCH(106,_Datos!$I:$I,0)),"")</f>
        <v/>
      </c>
      <c r="F113" s="67" t="str">
        <f>IFERROR(INDEX(_Datos!F:F,MATCH(106,_Datos!$I:$I,0)),"")</f>
        <v/>
      </c>
      <c r="G113" s="67" t="str">
        <f>IFERROR(INDEX(_Datos!G:G,MATCH(106,_Datos!$I:$I,0)),"")</f>
        <v/>
      </c>
      <c r="H113" s="70" t="str">
        <f>IFERROR(INDEX(_Datos!H:H,MATCH(106,_Datos!$I:$I,0)),"")</f>
        <v/>
      </c>
    </row>
    <row r="114" spans="1:8" x14ac:dyDescent="0.2">
      <c r="A114" s="63" t="str">
        <f>IFERROR(INDEX(_Datos!A:A,MATCH(107,_Datos!$I:$I,0)),"")</f>
        <v/>
      </c>
      <c r="B114" s="63" t="str">
        <f>IFERROR(INDEX(_Datos!B:B,MATCH(107,_Datos!$I:$I,0)),"")</f>
        <v/>
      </c>
      <c r="C114" s="63" t="str">
        <f>IFERROR(INDEX(_Datos!C:C,MATCH(107,_Datos!$I:$I,0)),"")</f>
        <v/>
      </c>
      <c r="D114" s="64" t="str">
        <f>IFERROR(INDEX(_Datos!D:D,MATCH(107,_Datos!$I:$I,0)),"")</f>
        <v/>
      </c>
      <c r="E114" s="65" t="str">
        <f>IFERROR(INDEX(_Datos!E:E,MATCH(107,_Datos!$I:$I,0)),"")</f>
        <v/>
      </c>
      <c r="F114" s="63" t="str">
        <f>IFERROR(INDEX(_Datos!F:F,MATCH(107,_Datos!$I:$I,0)),"")</f>
        <v/>
      </c>
      <c r="G114" s="63" t="str">
        <f>IFERROR(INDEX(_Datos!G:G,MATCH(107,_Datos!$I:$I,0)),"")</f>
        <v/>
      </c>
      <c r="H114" s="66" t="str">
        <f>IFERROR(INDEX(_Datos!H:H,MATCH(107,_Datos!$I:$I,0)),"")</f>
        <v/>
      </c>
    </row>
    <row r="115" spans="1:8" x14ac:dyDescent="0.2">
      <c r="A115" s="67" t="str">
        <f>IFERROR(INDEX(_Datos!A:A,MATCH(108,_Datos!$I:$I,0)),"")</f>
        <v/>
      </c>
      <c r="B115" s="67" t="str">
        <f>IFERROR(INDEX(_Datos!B:B,MATCH(108,_Datos!$I:$I,0)),"")</f>
        <v/>
      </c>
      <c r="C115" s="67" t="str">
        <f>IFERROR(INDEX(_Datos!C:C,MATCH(108,_Datos!$I:$I,0)),"")</f>
        <v/>
      </c>
      <c r="D115" s="68" t="str">
        <f>IFERROR(INDEX(_Datos!D:D,MATCH(108,_Datos!$I:$I,0)),"")</f>
        <v/>
      </c>
      <c r="E115" s="69" t="str">
        <f>IFERROR(INDEX(_Datos!E:E,MATCH(108,_Datos!$I:$I,0)),"")</f>
        <v/>
      </c>
      <c r="F115" s="67" t="str">
        <f>IFERROR(INDEX(_Datos!F:F,MATCH(108,_Datos!$I:$I,0)),"")</f>
        <v/>
      </c>
      <c r="G115" s="67" t="str">
        <f>IFERROR(INDEX(_Datos!G:G,MATCH(108,_Datos!$I:$I,0)),"")</f>
        <v/>
      </c>
      <c r="H115" s="70" t="str">
        <f>IFERROR(INDEX(_Datos!H:H,MATCH(108,_Datos!$I:$I,0)),"")</f>
        <v/>
      </c>
    </row>
    <row r="116" spans="1:8" x14ac:dyDescent="0.2">
      <c r="A116" s="63" t="str">
        <f>IFERROR(INDEX(_Datos!A:A,MATCH(109,_Datos!$I:$I,0)),"")</f>
        <v/>
      </c>
      <c r="B116" s="63" t="str">
        <f>IFERROR(INDEX(_Datos!B:B,MATCH(109,_Datos!$I:$I,0)),"")</f>
        <v/>
      </c>
      <c r="C116" s="63" t="str">
        <f>IFERROR(INDEX(_Datos!C:C,MATCH(109,_Datos!$I:$I,0)),"")</f>
        <v/>
      </c>
      <c r="D116" s="64" t="str">
        <f>IFERROR(INDEX(_Datos!D:D,MATCH(109,_Datos!$I:$I,0)),"")</f>
        <v/>
      </c>
      <c r="E116" s="65" t="str">
        <f>IFERROR(INDEX(_Datos!E:E,MATCH(109,_Datos!$I:$I,0)),"")</f>
        <v/>
      </c>
      <c r="F116" s="63" t="str">
        <f>IFERROR(INDEX(_Datos!F:F,MATCH(109,_Datos!$I:$I,0)),"")</f>
        <v/>
      </c>
      <c r="G116" s="63" t="str">
        <f>IFERROR(INDEX(_Datos!G:G,MATCH(109,_Datos!$I:$I,0)),"")</f>
        <v/>
      </c>
      <c r="H116" s="66" t="str">
        <f>IFERROR(INDEX(_Datos!H:H,MATCH(109,_Datos!$I:$I,0)),"")</f>
        <v/>
      </c>
    </row>
    <row r="117" spans="1:8" x14ac:dyDescent="0.2">
      <c r="A117" s="67" t="str">
        <f>IFERROR(INDEX(_Datos!A:A,MATCH(110,_Datos!$I:$I,0)),"")</f>
        <v/>
      </c>
      <c r="B117" s="67" t="str">
        <f>IFERROR(INDEX(_Datos!B:B,MATCH(110,_Datos!$I:$I,0)),"")</f>
        <v/>
      </c>
      <c r="C117" s="67" t="str">
        <f>IFERROR(INDEX(_Datos!C:C,MATCH(110,_Datos!$I:$I,0)),"")</f>
        <v/>
      </c>
      <c r="D117" s="68" t="str">
        <f>IFERROR(INDEX(_Datos!D:D,MATCH(110,_Datos!$I:$I,0)),"")</f>
        <v/>
      </c>
      <c r="E117" s="69" t="str">
        <f>IFERROR(INDEX(_Datos!E:E,MATCH(110,_Datos!$I:$I,0)),"")</f>
        <v/>
      </c>
      <c r="F117" s="67" t="str">
        <f>IFERROR(INDEX(_Datos!F:F,MATCH(110,_Datos!$I:$I,0)),"")</f>
        <v/>
      </c>
      <c r="G117" s="67" t="str">
        <f>IFERROR(INDEX(_Datos!G:G,MATCH(110,_Datos!$I:$I,0)),"")</f>
        <v/>
      </c>
      <c r="H117" s="70" t="str">
        <f>IFERROR(INDEX(_Datos!H:H,MATCH(110,_Datos!$I:$I,0)),"")</f>
        <v/>
      </c>
    </row>
    <row r="118" spans="1:8" x14ac:dyDescent="0.2">
      <c r="A118" s="63" t="str">
        <f>IFERROR(INDEX(_Datos!A:A,MATCH(111,_Datos!$I:$I,0)),"")</f>
        <v/>
      </c>
      <c r="B118" s="63" t="str">
        <f>IFERROR(INDEX(_Datos!B:B,MATCH(111,_Datos!$I:$I,0)),"")</f>
        <v/>
      </c>
      <c r="C118" s="63" t="str">
        <f>IFERROR(INDEX(_Datos!C:C,MATCH(111,_Datos!$I:$I,0)),"")</f>
        <v/>
      </c>
      <c r="D118" s="64" t="str">
        <f>IFERROR(INDEX(_Datos!D:D,MATCH(111,_Datos!$I:$I,0)),"")</f>
        <v/>
      </c>
      <c r="E118" s="65" t="str">
        <f>IFERROR(INDEX(_Datos!E:E,MATCH(111,_Datos!$I:$I,0)),"")</f>
        <v/>
      </c>
      <c r="F118" s="63" t="str">
        <f>IFERROR(INDEX(_Datos!F:F,MATCH(111,_Datos!$I:$I,0)),"")</f>
        <v/>
      </c>
      <c r="G118" s="63" t="str">
        <f>IFERROR(INDEX(_Datos!G:G,MATCH(111,_Datos!$I:$I,0)),"")</f>
        <v/>
      </c>
      <c r="H118" s="66" t="str">
        <f>IFERROR(INDEX(_Datos!H:H,MATCH(111,_Datos!$I:$I,0)),"")</f>
        <v/>
      </c>
    </row>
    <row r="119" spans="1:8" x14ac:dyDescent="0.2">
      <c r="A119" s="67" t="str">
        <f>IFERROR(INDEX(_Datos!A:A,MATCH(112,_Datos!$I:$I,0)),"")</f>
        <v/>
      </c>
      <c r="B119" s="67" t="str">
        <f>IFERROR(INDEX(_Datos!B:B,MATCH(112,_Datos!$I:$I,0)),"")</f>
        <v/>
      </c>
      <c r="C119" s="67" t="str">
        <f>IFERROR(INDEX(_Datos!C:C,MATCH(112,_Datos!$I:$I,0)),"")</f>
        <v/>
      </c>
      <c r="D119" s="68" t="str">
        <f>IFERROR(INDEX(_Datos!D:D,MATCH(112,_Datos!$I:$I,0)),"")</f>
        <v/>
      </c>
      <c r="E119" s="69" t="str">
        <f>IFERROR(INDEX(_Datos!E:E,MATCH(112,_Datos!$I:$I,0)),"")</f>
        <v/>
      </c>
      <c r="F119" s="67" t="str">
        <f>IFERROR(INDEX(_Datos!F:F,MATCH(112,_Datos!$I:$I,0)),"")</f>
        <v/>
      </c>
      <c r="G119" s="67" t="str">
        <f>IFERROR(INDEX(_Datos!G:G,MATCH(112,_Datos!$I:$I,0)),"")</f>
        <v/>
      </c>
      <c r="H119" s="70" t="str">
        <f>IFERROR(INDEX(_Datos!H:H,MATCH(112,_Datos!$I:$I,0)),"")</f>
        <v/>
      </c>
    </row>
    <row r="120" spans="1:8" x14ac:dyDescent="0.2">
      <c r="A120" s="63" t="str">
        <f>IFERROR(INDEX(_Datos!A:A,MATCH(113,_Datos!$I:$I,0)),"")</f>
        <v/>
      </c>
      <c r="B120" s="63" t="str">
        <f>IFERROR(INDEX(_Datos!B:B,MATCH(113,_Datos!$I:$I,0)),"")</f>
        <v/>
      </c>
      <c r="C120" s="63" t="str">
        <f>IFERROR(INDEX(_Datos!C:C,MATCH(113,_Datos!$I:$I,0)),"")</f>
        <v/>
      </c>
      <c r="D120" s="64" t="str">
        <f>IFERROR(INDEX(_Datos!D:D,MATCH(113,_Datos!$I:$I,0)),"")</f>
        <v/>
      </c>
      <c r="E120" s="65" t="str">
        <f>IFERROR(INDEX(_Datos!E:E,MATCH(113,_Datos!$I:$I,0)),"")</f>
        <v/>
      </c>
      <c r="F120" s="63" t="str">
        <f>IFERROR(INDEX(_Datos!F:F,MATCH(113,_Datos!$I:$I,0)),"")</f>
        <v/>
      </c>
      <c r="G120" s="63" t="str">
        <f>IFERROR(INDEX(_Datos!G:G,MATCH(113,_Datos!$I:$I,0)),"")</f>
        <v/>
      </c>
      <c r="H120" s="66" t="str">
        <f>IFERROR(INDEX(_Datos!H:H,MATCH(113,_Datos!$I:$I,0)),"")</f>
        <v/>
      </c>
    </row>
    <row r="121" spans="1:8" x14ac:dyDescent="0.2">
      <c r="A121" s="67" t="str">
        <f>IFERROR(INDEX(_Datos!A:A,MATCH(114,_Datos!$I:$I,0)),"")</f>
        <v/>
      </c>
      <c r="B121" s="67" t="str">
        <f>IFERROR(INDEX(_Datos!B:B,MATCH(114,_Datos!$I:$I,0)),"")</f>
        <v/>
      </c>
      <c r="C121" s="67" t="str">
        <f>IFERROR(INDEX(_Datos!C:C,MATCH(114,_Datos!$I:$I,0)),"")</f>
        <v/>
      </c>
      <c r="D121" s="68" t="str">
        <f>IFERROR(INDEX(_Datos!D:D,MATCH(114,_Datos!$I:$I,0)),"")</f>
        <v/>
      </c>
      <c r="E121" s="69" t="str">
        <f>IFERROR(INDEX(_Datos!E:E,MATCH(114,_Datos!$I:$I,0)),"")</f>
        <v/>
      </c>
      <c r="F121" s="67" t="str">
        <f>IFERROR(INDEX(_Datos!F:F,MATCH(114,_Datos!$I:$I,0)),"")</f>
        <v/>
      </c>
      <c r="G121" s="67" t="str">
        <f>IFERROR(INDEX(_Datos!G:G,MATCH(114,_Datos!$I:$I,0)),"")</f>
        <v/>
      </c>
      <c r="H121" s="70" t="str">
        <f>IFERROR(INDEX(_Datos!H:H,MATCH(114,_Datos!$I:$I,0)),"")</f>
        <v/>
      </c>
    </row>
    <row r="122" spans="1:8" x14ac:dyDescent="0.2">
      <c r="A122" s="63" t="str">
        <f>IFERROR(INDEX(_Datos!A:A,MATCH(115,_Datos!$I:$I,0)),"")</f>
        <v/>
      </c>
      <c r="B122" s="63" t="str">
        <f>IFERROR(INDEX(_Datos!B:B,MATCH(115,_Datos!$I:$I,0)),"")</f>
        <v/>
      </c>
      <c r="C122" s="63" t="str">
        <f>IFERROR(INDEX(_Datos!C:C,MATCH(115,_Datos!$I:$I,0)),"")</f>
        <v/>
      </c>
      <c r="D122" s="64" t="str">
        <f>IFERROR(INDEX(_Datos!D:D,MATCH(115,_Datos!$I:$I,0)),"")</f>
        <v/>
      </c>
      <c r="E122" s="65" t="str">
        <f>IFERROR(INDEX(_Datos!E:E,MATCH(115,_Datos!$I:$I,0)),"")</f>
        <v/>
      </c>
      <c r="F122" s="63" t="str">
        <f>IFERROR(INDEX(_Datos!F:F,MATCH(115,_Datos!$I:$I,0)),"")</f>
        <v/>
      </c>
      <c r="G122" s="63" t="str">
        <f>IFERROR(INDEX(_Datos!G:G,MATCH(115,_Datos!$I:$I,0)),"")</f>
        <v/>
      </c>
      <c r="H122" s="66" t="str">
        <f>IFERROR(INDEX(_Datos!H:H,MATCH(115,_Datos!$I:$I,0)),"")</f>
        <v/>
      </c>
    </row>
    <row r="123" spans="1:8" x14ac:dyDescent="0.2">
      <c r="A123" s="67" t="str">
        <f>IFERROR(INDEX(_Datos!A:A,MATCH(116,_Datos!$I:$I,0)),"")</f>
        <v/>
      </c>
      <c r="B123" s="67" t="str">
        <f>IFERROR(INDEX(_Datos!B:B,MATCH(116,_Datos!$I:$I,0)),"")</f>
        <v/>
      </c>
      <c r="C123" s="67" t="str">
        <f>IFERROR(INDEX(_Datos!C:C,MATCH(116,_Datos!$I:$I,0)),"")</f>
        <v/>
      </c>
      <c r="D123" s="68" t="str">
        <f>IFERROR(INDEX(_Datos!D:D,MATCH(116,_Datos!$I:$I,0)),"")</f>
        <v/>
      </c>
      <c r="E123" s="69" t="str">
        <f>IFERROR(INDEX(_Datos!E:E,MATCH(116,_Datos!$I:$I,0)),"")</f>
        <v/>
      </c>
      <c r="F123" s="67" t="str">
        <f>IFERROR(INDEX(_Datos!F:F,MATCH(116,_Datos!$I:$I,0)),"")</f>
        <v/>
      </c>
      <c r="G123" s="67" t="str">
        <f>IFERROR(INDEX(_Datos!G:G,MATCH(116,_Datos!$I:$I,0)),"")</f>
        <v/>
      </c>
      <c r="H123" s="70" t="str">
        <f>IFERROR(INDEX(_Datos!H:H,MATCH(116,_Datos!$I:$I,0)),"")</f>
        <v/>
      </c>
    </row>
    <row r="124" spans="1:8" x14ac:dyDescent="0.2">
      <c r="A124" s="63" t="str">
        <f>IFERROR(INDEX(_Datos!A:A,MATCH(117,_Datos!$I:$I,0)),"")</f>
        <v/>
      </c>
      <c r="B124" s="63" t="str">
        <f>IFERROR(INDEX(_Datos!B:B,MATCH(117,_Datos!$I:$I,0)),"")</f>
        <v/>
      </c>
      <c r="C124" s="63" t="str">
        <f>IFERROR(INDEX(_Datos!C:C,MATCH(117,_Datos!$I:$I,0)),"")</f>
        <v/>
      </c>
      <c r="D124" s="64" t="str">
        <f>IFERROR(INDEX(_Datos!D:D,MATCH(117,_Datos!$I:$I,0)),"")</f>
        <v/>
      </c>
      <c r="E124" s="65" t="str">
        <f>IFERROR(INDEX(_Datos!E:E,MATCH(117,_Datos!$I:$I,0)),"")</f>
        <v/>
      </c>
      <c r="F124" s="63" t="str">
        <f>IFERROR(INDEX(_Datos!F:F,MATCH(117,_Datos!$I:$I,0)),"")</f>
        <v/>
      </c>
      <c r="G124" s="63" t="str">
        <f>IFERROR(INDEX(_Datos!G:G,MATCH(117,_Datos!$I:$I,0)),"")</f>
        <v/>
      </c>
      <c r="H124" s="66" t="str">
        <f>IFERROR(INDEX(_Datos!H:H,MATCH(117,_Datos!$I:$I,0)),"")</f>
        <v/>
      </c>
    </row>
    <row r="125" spans="1:8" x14ac:dyDescent="0.2">
      <c r="A125" s="67" t="str">
        <f>IFERROR(INDEX(_Datos!A:A,MATCH(118,_Datos!$I:$I,0)),"")</f>
        <v/>
      </c>
      <c r="B125" s="67" t="str">
        <f>IFERROR(INDEX(_Datos!B:B,MATCH(118,_Datos!$I:$I,0)),"")</f>
        <v/>
      </c>
      <c r="C125" s="67" t="str">
        <f>IFERROR(INDEX(_Datos!C:C,MATCH(118,_Datos!$I:$I,0)),"")</f>
        <v/>
      </c>
      <c r="D125" s="68" t="str">
        <f>IFERROR(INDEX(_Datos!D:D,MATCH(118,_Datos!$I:$I,0)),"")</f>
        <v/>
      </c>
      <c r="E125" s="69" t="str">
        <f>IFERROR(INDEX(_Datos!E:E,MATCH(118,_Datos!$I:$I,0)),"")</f>
        <v/>
      </c>
      <c r="F125" s="67" t="str">
        <f>IFERROR(INDEX(_Datos!F:F,MATCH(118,_Datos!$I:$I,0)),"")</f>
        <v/>
      </c>
      <c r="G125" s="67" t="str">
        <f>IFERROR(INDEX(_Datos!G:G,MATCH(118,_Datos!$I:$I,0)),"")</f>
        <v/>
      </c>
      <c r="H125" s="70" t="str">
        <f>IFERROR(INDEX(_Datos!H:H,MATCH(118,_Datos!$I:$I,0)),"")</f>
        <v/>
      </c>
    </row>
    <row r="126" spans="1:8" x14ac:dyDescent="0.2">
      <c r="A126" s="63" t="str">
        <f>IFERROR(INDEX(_Datos!A:A,MATCH(119,_Datos!$I:$I,0)),"")</f>
        <v/>
      </c>
      <c r="B126" s="63" t="str">
        <f>IFERROR(INDEX(_Datos!B:B,MATCH(119,_Datos!$I:$I,0)),"")</f>
        <v/>
      </c>
      <c r="C126" s="63" t="str">
        <f>IFERROR(INDEX(_Datos!C:C,MATCH(119,_Datos!$I:$I,0)),"")</f>
        <v/>
      </c>
      <c r="D126" s="64" t="str">
        <f>IFERROR(INDEX(_Datos!D:D,MATCH(119,_Datos!$I:$I,0)),"")</f>
        <v/>
      </c>
      <c r="E126" s="65" t="str">
        <f>IFERROR(INDEX(_Datos!E:E,MATCH(119,_Datos!$I:$I,0)),"")</f>
        <v/>
      </c>
      <c r="F126" s="63" t="str">
        <f>IFERROR(INDEX(_Datos!F:F,MATCH(119,_Datos!$I:$I,0)),"")</f>
        <v/>
      </c>
      <c r="G126" s="63" t="str">
        <f>IFERROR(INDEX(_Datos!G:G,MATCH(119,_Datos!$I:$I,0)),"")</f>
        <v/>
      </c>
      <c r="H126" s="66" t="str">
        <f>IFERROR(INDEX(_Datos!H:H,MATCH(119,_Datos!$I:$I,0)),"")</f>
        <v/>
      </c>
    </row>
    <row r="127" spans="1:8" x14ac:dyDescent="0.2">
      <c r="A127" s="67" t="str">
        <f>IFERROR(INDEX(_Datos!A:A,MATCH(120,_Datos!$I:$I,0)),"")</f>
        <v/>
      </c>
      <c r="B127" s="67" t="str">
        <f>IFERROR(INDEX(_Datos!B:B,MATCH(120,_Datos!$I:$I,0)),"")</f>
        <v/>
      </c>
      <c r="C127" s="67" t="str">
        <f>IFERROR(INDEX(_Datos!C:C,MATCH(120,_Datos!$I:$I,0)),"")</f>
        <v/>
      </c>
      <c r="D127" s="68" t="str">
        <f>IFERROR(INDEX(_Datos!D:D,MATCH(120,_Datos!$I:$I,0)),"")</f>
        <v/>
      </c>
      <c r="E127" s="69" t="str">
        <f>IFERROR(INDEX(_Datos!E:E,MATCH(120,_Datos!$I:$I,0)),"")</f>
        <v/>
      </c>
      <c r="F127" s="67" t="str">
        <f>IFERROR(INDEX(_Datos!F:F,MATCH(120,_Datos!$I:$I,0)),"")</f>
        <v/>
      </c>
      <c r="G127" s="67" t="str">
        <f>IFERROR(INDEX(_Datos!G:G,MATCH(120,_Datos!$I:$I,0)),"")</f>
        <v/>
      </c>
      <c r="H127" s="70" t="str">
        <f>IFERROR(INDEX(_Datos!H:H,MATCH(120,_Datos!$I:$I,0)),"")</f>
        <v/>
      </c>
    </row>
    <row r="128" spans="1:8" x14ac:dyDescent="0.2">
      <c r="A128" s="63" t="str">
        <f>IFERROR(INDEX(_Datos!A:A,MATCH(121,_Datos!$I:$I,0)),"")</f>
        <v/>
      </c>
      <c r="B128" s="63" t="str">
        <f>IFERROR(INDEX(_Datos!B:B,MATCH(121,_Datos!$I:$I,0)),"")</f>
        <v/>
      </c>
      <c r="C128" s="63" t="str">
        <f>IFERROR(INDEX(_Datos!C:C,MATCH(121,_Datos!$I:$I,0)),"")</f>
        <v/>
      </c>
      <c r="D128" s="64" t="str">
        <f>IFERROR(INDEX(_Datos!D:D,MATCH(121,_Datos!$I:$I,0)),"")</f>
        <v/>
      </c>
      <c r="E128" s="65" t="str">
        <f>IFERROR(INDEX(_Datos!E:E,MATCH(121,_Datos!$I:$I,0)),"")</f>
        <v/>
      </c>
      <c r="F128" s="63" t="str">
        <f>IFERROR(INDEX(_Datos!F:F,MATCH(121,_Datos!$I:$I,0)),"")</f>
        <v/>
      </c>
      <c r="G128" s="63" t="str">
        <f>IFERROR(INDEX(_Datos!G:G,MATCH(121,_Datos!$I:$I,0)),"")</f>
        <v/>
      </c>
      <c r="H128" s="66" t="str">
        <f>IFERROR(INDEX(_Datos!H:H,MATCH(121,_Datos!$I:$I,0)),"")</f>
        <v/>
      </c>
    </row>
    <row r="129" spans="1:8" x14ac:dyDescent="0.2">
      <c r="A129" s="67" t="str">
        <f>IFERROR(INDEX(_Datos!A:A,MATCH(122,_Datos!$I:$I,0)),"")</f>
        <v/>
      </c>
      <c r="B129" s="67" t="str">
        <f>IFERROR(INDEX(_Datos!B:B,MATCH(122,_Datos!$I:$I,0)),"")</f>
        <v/>
      </c>
      <c r="C129" s="67" t="str">
        <f>IFERROR(INDEX(_Datos!C:C,MATCH(122,_Datos!$I:$I,0)),"")</f>
        <v/>
      </c>
      <c r="D129" s="68" t="str">
        <f>IFERROR(INDEX(_Datos!D:D,MATCH(122,_Datos!$I:$I,0)),"")</f>
        <v/>
      </c>
      <c r="E129" s="69" t="str">
        <f>IFERROR(INDEX(_Datos!E:E,MATCH(122,_Datos!$I:$I,0)),"")</f>
        <v/>
      </c>
      <c r="F129" s="67" t="str">
        <f>IFERROR(INDEX(_Datos!F:F,MATCH(122,_Datos!$I:$I,0)),"")</f>
        <v/>
      </c>
      <c r="G129" s="67" t="str">
        <f>IFERROR(INDEX(_Datos!G:G,MATCH(122,_Datos!$I:$I,0)),"")</f>
        <v/>
      </c>
      <c r="H129" s="70" t="str">
        <f>IFERROR(INDEX(_Datos!H:H,MATCH(122,_Datos!$I:$I,0)),"")</f>
        <v/>
      </c>
    </row>
    <row r="130" spans="1:8" x14ac:dyDescent="0.2">
      <c r="A130" s="63" t="str">
        <f>IFERROR(INDEX(_Datos!A:A,MATCH(123,_Datos!$I:$I,0)),"")</f>
        <v/>
      </c>
      <c r="B130" s="63" t="str">
        <f>IFERROR(INDEX(_Datos!B:B,MATCH(123,_Datos!$I:$I,0)),"")</f>
        <v/>
      </c>
      <c r="C130" s="63" t="str">
        <f>IFERROR(INDEX(_Datos!C:C,MATCH(123,_Datos!$I:$I,0)),"")</f>
        <v/>
      </c>
      <c r="D130" s="64" t="str">
        <f>IFERROR(INDEX(_Datos!D:D,MATCH(123,_Datos!$I:$I,0)),"")</f>
        <v/>
      </c>
      <c r="E130" s="65" t="str">
        <f>IFERROR(INDEX(_Datos!E:E,MATCH(123,_Datos!$I:$I,0)),"")</f>
        <v/>
      </c>
      <c r="F130" s="63" t="str">
        <f>IFERROR(INDEX(_Datos!F:F,MATCH(123,_Datos!$I:$I,0)),"")</f>
        <v/>
      </c>
      <c r="G130" s="63" t="str">
        <f>IFERROR(INDEX(_Datos!G:G,MATCH(123,_Datos!$I:$I,0)),"")</f>
        <v/>
      </c>
      <c r="H130" s="66" t="str">
        <f>IFERROR(INDEX(_Datos!H:H,MATCH(123,_Datos!$I:$I,0)),"")</f>
        <v/>
      </c>
    </row>
    <row r="131" spans="1:8" x14ac:dyDescent="0.2">
      <c r="A131" s="67" t="str">
        <f>IFERROR(INDEX(_Datos!A:A,MATCH(124,_Datos!$I:$I,0)),"")</f>
        <v/>
      </c>
      <c r="B131" s="67" t="str">
        <f>IFERROR(INDEX(_Datos!B:B,MATCH(124,_Datos!$I:$I,0)),"")</f>
        <v/>
      </c>
      <c r="C131" s="67" t="str">
        <f>IFERROR(INDEX(_Datos!C:C,MATCH(124,_Datos!$I:$I,0)),"")</f>
        <v/>
      </c>
      <c r="D131" s="68" t="str">
        <f>IFERROR(INDEX(_Datos!D:D,MATCH(124,_Datos!$I:$I,0)),"")</f>
        <v/>
      </c>
      <c r="E131" s="69" t="str">
        <f>IFERROR(INDEX(_Datos!E:E,MATCH(124,_Datos!$I:$I,0)),"")</f>
        <v/>
      </c>
      <c r="F131" s="67" t="str">
        <f>IFERROR(INDEX(_Datos!F:F,MATCH(124,_Datos!$I:$I,0)),"")</f>
        <v/>
      </c>
      <c r="G131" s="67" t="str">
        <f>IFERROR(INDEX(_Datos!G:G,MATCH(124,_Datos!$I:$I,0)),"")</f>
        <v/>
      </c>
      <c r="H131" s="70" t="str">
        <f>IFERROR(INDEX(_Datos!H:H,MATCH(124,_Datos!$I:$I,0)),"")</f>
        <v/>
      </c>
    </row>
    <row r="132" spans="1:8" x14ac:dyDescent="0.2">
      <c r="A132" s="63" t="str">
        <f>IFERROR(INDEX(_Datos!A:A,MATCH(125,_Datos!$I:$I,0)),"")</f>
        <v/>
      </c>
      <c r="B132" s="63" t="str">
        <f>IFERROR(INDEX(_Datos!B:B,MATCH(125,_Datos!$I:$I,0)),"")</f>
        <v/>
      </c>
      <c r="C132" s="63" t="str">
        <f>IFERROR(INDEX(_Datos!C:C,MATCH(125,_Datos!$I:$I,0)),"")</f>
        <v/>
      </c>
      <c r="D132" s="64" t="str">
        <f>IFERROR(INDEX(_Datos!D:D,MATCH(125,_Datos!$I:$I,0)),"")</f>
        <v/>
      </c>
      <c r="E132" s="65" t="str">
        <f>IFERROR(INDEX(_Datos!E:E,MATCH(125,_Datos!$I:$I,0)),"")</f>
        <v/>
      </c>
      <c r="F132" s="63" t="str">
        <f>IFERROR(INDEX(_Datos!F:F,MATCH(125,_Datos!$I:$I,0)),"")</f>
        <v/>
      </c>
      <c r="G132" s="63" t="str">
        <f>IFERROR(INDEX(_Datos!G:G,MATCH(125,_Datos!$I:$I,0)),"")</f>
        <v/>
      </c>
      <c r="H132" s="66" t="str">
        <f>IFERROR(INDEX(_Datos!H:H,MATCH(125,_Datos!$I:$I,0)),"")</f>
        <v/>
      </c>
    </row>
    <row r="133" spans="1:8" x14ac:dyDescent="0.2">
      <c r="A133" s="67" t="str">
        <f>IFERROR(INDEX(_Datos!A:A,MATCH(126,_Datos!$I:$I,0)),"")</f>
        <v/>
      </c>
      <c r="B133" s="67" t="str">
        <f>IFERROR(INDEX(_Datos!B:B,MATCH(126,_Datos!$I:$I,0)),"")</f>
        <v/>
      </c>
      <c r="C133" s="67" t="str">
        <f>IFERROR(INDEX(_Datos!C:C,MATCH(126,_Datos!$I:$I,0)),"")</f>
        <v/>
      </c>
      <c r="D133" s="68" t="str">
        <f>IFERROR(INDEX(_Datos!D:D,MATCH(126,_Datos!$I:$I,0)),"")</f>
        <v/>
      </c>
      <c r="E133" s="69" t="str">
        <f>IFERROR(INDEX(_Datos!E:E,MATCH(126,_Datos!$I:$I,0)),"")</f>
        <v/>
      </c>
      <c r="F133" s="67" t="str">
        <f>IFERROR(INDEX(_Datos!F:F,MATCH(126,_Datos!$I:$I,0)),"")</f>
        <v/>
      </c>
      <c r="G133" s="67" t="str">
        <f>IFERROR(INDEX(_Datos!G:G,MATCH(126,_Datos!$I:$I,0)),"")</f>
        <v/>
      </c>
      <c r="H133" s="70" t="str">
        <f>IFERROR(INDEX(_Datos!H:H,MATCH(126,_Datos!$I:$I,0)),"")</f>
        <v/>
      </c>
    </row>
    <row r="134" spans="1:8" x14ac:dyDescent="0.2">
      <c r="A134" s="63" t="str">
        <f>IFERROR(INDEX(_Datos!A:A,MATCH(127,_Datos!$I:$I,0)),"")</f>
        <v/>
      </c>
      <c r="B134" s="63" t="str">
        <f>IFERROR(INDEX(_Datos!B:B,MATCH(127,_Datos!$I:$I,0)),"")</f>
        <v/>
      </c>
      <c r="C134" s="63" t="str">
        <f>IFERROR(INDEX(_Datos!C:C,MATCH(127,_Datos!$I:$I,0)),"")</f>
        <v/>
      </c>
      <c r="D134" s="64" t="str">
        <f>IFERROR(INDEX(_Datos!D:D,MATCH(127,_Datos!$I:$I,0)),"")</f>
        <v/>
      </c>
      <c r="E134" s="65" t="str">
        <f>IFERROR(INDEX(_Datos!E:E,MATCH(127,_Datos!$I:$I,0)),"")</f>
        <v/>
      </c>
      <c r="F134" s="63" t="str">
        <f>IFERROR(INDEX(_Datos!F:F,MATCH(127,_Datos!$I:$I,0)),"")</f>
        <v/>
      </c>
      <c r="G134" s="63" t="str">
        <f>IFERROR(INDEX(_Datos!G:G,MATCH(127,_Datos!$I:$I,0)),"")</f>
        <v/>
      </c>
      <c r="H134" s="66" t="str">
        <f>IFERROR(INDEX(_Datos!H:H,MATCH(127,_Datos!$I:$I,0)),"")</f>
        <v/>
      </c>
    </row>
    <row r="135" spans="1:8" x14ac:dyDescent="0.2">
      <c r="A135" s="67" t="str">
        <f>IFERROR(INDEX(_Datos!A:A,MATCH(128,_Datos!$I:$I,0)),"")</f>
        <v/>
      </c>
      <c r="B135" s="67" t="str">
        <f>IFERROR(INDEX(_Datos!B:B,MATCH(128,_Datos!$I:$I,0)),"")</f>
        <v/>
      </c>
      <c r="C135" s="67" t="str">
        <f>IFERROR(INDEX(_Datos!C:C,MATCH(128,_Datos!$I:$I,0)),"")</f>
        <v/>
      </c>
      <c r="D135" s="68" t="str">
        <f>IFERROR(INDEX(_Datos!D:D,MATCH(128,_Datos!$I:$I,0)),"")</f>
        <v/>
      </c>
      <c r="E135" s="69" t="str">
        <f>IFERROR(INDEX(_Datos!E:E,MATCH(128,_Datos!$I:$I,0)),"")</f>
        <v/>
      </c>
      <c r="F135" s="67" t="str">
        <f>IFERROR(INDEX(_Datos!F:F,MATCH(128,_Datos!$I:$I,0)),"")</f>
        <v/>
      </c>
      <c r="G135" s="67" t="str">
        <f>IFERROR(INDEX(_Datos!G:G,MATCH(128,_Datos!$I:$I,0)),"")</f>
        <v/>
      </c>
      <c r="H135" s="70" t="str">
        <f>IFERROR(INDEX(_Datos!H:H,MATCH(128,_Datos!$I:$I,0)),"")</f>
        <v/>
      </c>
    </row>
    <row r="136" spans="1:8" x14ac:dyDescent="0.2">
      <c r="A136" s="63" t="str">
        <f>IFERROR(INDEX(_Datos!A:A,MATCH(129,_Datos!$I:$I,0)),"")</f>
        <v/>
      </c>
      <c r="B136" s="63" t="str">
        <f>IFERROR(INDEX(_Datos!B:B,MATCH(129,_Datos!$I:$I,0)),"")</f>
        <v/>
      </c>
      <c r="C136" s="63" t="str">
        <f>IFERROR(INDEX(_Datos!C:C,MATCH(129,_Datos!$I:$I,0)),"")</f>
        <v/>
      </c>
      <c r="D136" s="64" t="str">
        <f>IFERROR(INDEX(_Datos!D:D,MATCH(129,_Datos!$I:$I,0)),"")</f>
        <v/>
      </c>
      <c r="E136" s="65" t="str">
        <f>IFERROR(INDEX(_Datos!E:E,MATCH(129,_Datos!$I:$I,0)),"")</f>
        <v/>
      </c>
      <c r="F136" s="63" t="str">
        <f>IFERROR(INDEX(_Datos!F:F,MATCH(129,_Datos!$I:$I,0)),"")</f>
        <v/>
      </c>
      <c r="G136" s="63" t="str">
        <f>IFERROR(INDEX(_Datos!G:G,MATCH(129,_Datos!$I:$I,0)),"")</f>
        <v/>
      </c>
      <c r="H136" s="66" t="str">
        <f>IFERROR(INDEX(_Datos!H:H,MATCH(129,_Datos!$I:$I,0)),"")</f>
        <v/>
      </c>
    </row>
    <row r="137" spans="1:8" x14ac:dyDescent="0.2">
      <c r="A137" s="67" t="str">
        <f>IFERROR(INDEX(_Datos!A:A,MATCH(130,_Datos!$I:$I,0)),"")</f>
        <v/>
      </c>
      <c r="B137" s="67" t="str">
        <f>IFERROR(INDEX(_Datos!B:B,MATCH(130,_Datos!$I:$I,0)),"")</f>
        <v/>
      </c>
      <c r="C137" s="67" t="str">
        <f>IFERROR(INDEX(_Datos!C:C,MATCH(130,_Datos!$I:$I,0)),"")</f>
        <v/>
      </c>
      <c r="D137" s="68" t="str">
        <f>IFERROR(INDEX(_Datos!D:D,MATCH(130,_Datos!$I:$I,0)),"")</f>
        <v/>
      </c>
      <c r="E137" s="69" t="str">
        <f>IFERROR(INDEX(_Datos!E:E,MATCH(130,_Datos!$I:$I,0)),"")</f>
        <v/>
      </c>
      <c r="F137" s="67" t="str">
        <f>IFERROR(INDEX(_Datos!F:F,MATCH(130,_Datos!$I:$I,0)),"")</f>
        <v/>
      </c>
      <c r="G137" s="67" t="str">
        <f>IFERROR(INDEX(_Datos!G:G,MATCH(130,_Datos!$I:$I,0)),"")</f>
        <v/>
      </c>
      <c r="H137" s="70" t="str">
        <f>IFERROR(INDEX(_Datos!H:H,MATCH(130,_Datos!$I:$I,0)),"")</f>
        <v/>
      </c>
    </row>
    <row r="138" spans="1:8" x14ac:dyDescent="0.2">
      <c r="A138" s="63" t="str">
        <f>IFERROR(INDEX(_Datos!A:A,MATCH(131,_Datos!$I:$I,0)),"")</f>
        <v/>
      </c>
      <c r="B138" s="63" t="str">
        <f>IFERROR(INDEX(_Datos!B:B,MATCH(131,_Datos!$I:$I,0)),"")</f>
        <v/>
      </c>
      <c r="C138" s="63" t="str">
        <f>IFERROR(INDEX(_Datos!C:C,MATCH(131,_Datos!$I:$I,0)),"")</f>
        <v/>
      </c>
      <c r="D138" s="64" t="str">
        <f>IFERROR(INDEX(_Datos!D:D,MATCH(131,_Datos!$I:$I,0)),"")</f>
        <v/>
      </c>
      <c r="E138" s="65" t="str">
        <f>IFERROR(INDEX(_Datos!E:E,MATCH(131,_Datos!$I:$I,0)),"")</f>
        <v/>
      </c>
      <c r="F138" s="63" t="str">
        <f>IFERROR(INDEX(_Datos!F:F,MATCH(131,_Datos!$I:$I,0)),"")</f>
        <v/>
      </c>
      <c r="G138" s="63" t="str">
        <f>IFERROR(INDEX(_Datos!G:G,MATCH(131,_Datos!$I:$I,0)),"")</f>
        <v/>
      </c>
      <c r="H138" s="66" t="str">
        <f>IFERROR(INDEX(_Datos!H:H,MATCH(131,_Datos!$I:$I,0)),"")</f>
        <v/>
      </c>
    </row>
    <row r="139" spans="1:8" x14ac:dyDescent="0.2">
      <c r="A139" s="67" t="str">
        <f>IFERROR(INDEX(_Datos!A:A,MATCH(132,_Datos!$I:$I,0)),"")</f>
        <v/>
      </c>
      <c r="B139" s="67" t="str">
        <f>IFERROR(INDEX(_Datos!B:B,MATCH(132,_Datos!$I:$I,0)),"")</f>
        <v/>
      </c>
      <c r="C139" s="67" t="str">
        <f>IFERROR(INDEX(_Datos!C:C,MATCH(132,_Datos!$I:$I,0)),"")</f>
        <v/>
      </c>
      <c r="D139" s="68" t="str">
        <f>IFERROR(INDEX(_Datos!D:D,MATCH(132,_Datos!$I:$I,0)),"")</f>
        <v/>
      </c>
      <c r="E139" s="69" t="str">
        <f>IFERROR(INDEX(_Datos!E:E,MATCH(132,_Datos!$I:$I,0)),"")</f>
        <v/>
      </c>
      <c r="F139" s="67" t="str">
        <f>IFERROR(INDEX(_Datos!F:F,MATCH(132,_Datos!$I:$I,0)),"")</f>
        <v/>
      </c>
      <c r="G139" s="67" t="str">
        <f>IFERROR(INDEX(_Datos!G:G,MATCH(132,_Datos!$I:$I,0)),"")</f>
        <v/>
      </c>
      <c r="H139" s="70" t="str">
        <f>IFERROR(INDEX(_Datos!H:H,MATCH(132,_Datos!$I:$I,0)),"")</f>
        <v/>
      </c>
    </row>
    <row r="140" spans="1:8" x14ac:dyDescent="0.2">
      <c r="A140" s="63" t="str">
        <f>IFERROR(INDEX(_Datos!A:A,MATCH(133,_Datos!$I:$I,0)),"")</f>
        <v/>
      </c>
      <c r="B140" s="63" t="str">
        <f>IFERROR(INDEX(_Datos!B:B,MATCH(133,_Datos!$I:$I,0)),"")</f>
        <v/>
      </c>
      <c r="C140" s="63" t="str">
        <f>IFERROR(INDEX(_Datos!C:C,MATCH(133,_Datos!$I:$I,0)),"")</f>
        <v/>
      </c>
      <c r="D140" s="64" t="str">
        <f>IFERROR(INDEX(_Datos!D:D,MATCH(133,_Datos!$I:$I,0)),"")</f>
        <v/>
      </c>
      <c r="E140" s="65" t="str">
        <f>IFERROR(INDEX(_Datos!E:E,MATCH(133,_Datos!$I:$I,0)),"")</f>
        <v/>
      </c>
      <c r="F140" s="63" t="str">
        <f>IFERROR(INDEX(_Datos!F:F,MATCH(133,_Datos!$I:$I,0)),"")</f>
        <v/>
      </c>
      <c r="G140" s="63" t="str">
        <f>IFERROR(INDEX(_Datos!G:G,MATCH(133,_Datos!$I:$I,0)),"")</f>
        <v/>
      </c>
      <c r="H140" s="66" t="str">
        <f>IFERROR(INDEX(_Datos!H:H,MATCH(133,_Datos!$I:$I,0)),"")</f>
        <v/>
      </c>
    </row>
    <row r="141" spans="1:8" x14ac:dyDescent="0.2">
      <c r="A141" s="67" t="str">
        <f>IFERROR(INDEX(_Datos!A:A,MATCH(134,_Datos!$I:$I,0)),"")</f>
        <v/>
      </c>
      <c r="B141" s="67" t="str">
        <f>IFERROR(INDEX(_Datos!B:B,MATCH(134,_Datos!$I:$I,0)),"")</f>
        <v/>
      </c>
      <c r="C141" s="67" t="str">
        <f>IFERROR(INDEX(_Datos!C:C,MATCH(134,_Datos!$I:$I,0)),"")</f>
        <v/>
      </c>
      <c r="D141" s="68" t="str">
        <f>IFERROR(INDEX(_Datos!D:D,MATCH(134,_Datos!$I:$I,0)),"")</f>
        <v/>
      </c>
      <c r="E141" s="69" t="str">
        <f>IFERROR(INDEX(_Datos!E:E,MATCH(134,_Datos!$I:$I,0)),"")</f>
        <v/>
      </c>
      <c r="F141" s="67" t="str">
        <f>IFERROR(INDEX(_Datos!F:F,MATCH(134,_Datos!$I:$I,0)),"")</f>
        <v/>
      </c>
      <c r="G141" s="67" t="str">
        <f>IFERROR(INDEX(_Datos!G:G,MATCH(134,_Datos!$I:$I,0)),"")</f>
        <v/>
      </c>
      <c r="H141" s="70" t="str">
        <f>IFERROR(INDEX(_Datos!H:H,MATCH(134,_Datos!$I:$I,0)),"")</f>
        <v/>
      </c>
    </row>
    <row r="142" spans="1:8" x14ac:dyDescent="0.2">
      <c r="A142" s="63" t="str">
        <f>IFERROR(INDEX(_Datos!A:A,MATCH(135,_Datos!$I:$I,0)),"")</f>
        <v/>
      </c>
      <c r="B142" s="63" t="str">
        <f>IFERROR(INDEX(_Datos!B:B,MATCH(135,_Datos!$I:$I,0)),"")</f>
        <v/>
      </c>
      <c r="C142" s="63" t="str">
        <f>IFERROR(INDEX(_Datos!C:C,MATCH(135,_Datos!$I:$I,0)),"")</f>
        <v/>
      </c>
      <c r="D142" s="64" t="str">
        <f>IFERROR(INDEX(_Datos!D:D,MATCH(135,_Datos!$I:$I,0)),"")</f>
        <v/>
      </c>
      <c r="E142" s="65" t="str">
        <f>IFERROR(INDEX(_Datos!E:E,MATCH(135,_Datos!$I:$I,0)),"")</f>
        <v/>
      </c>
      <c r="F142" s="63" t="str">
        <f>IFERROR(INDEX(_Datos!F:F,MATCH(135,_Datos!$I:$I,0)),"")</f>
        <v/>
      </c>
      <c r="G142" s="63" t="str">
        <f>IFERROR(INDEX(_Datos!G:G,MATCH(135,_Datos!$I:$I,0)),"")</f>
        <v/>
      </c>
      <c r="H142" s="66" t="str">
        <f>IFERROR(INDEX(_Datos!H:H,MATCH(135,_Datos!$I:$I,0)),"")</f>
        <v/>
      </c>
    </row>
    <row r="143" spans="1:8" x14ac:dyDescent="0.2">
      <c r="A143" s="67" t="str">
        <f>IFERROR(INDEX(_Datos!A:A,MATCH(136,_Datos!$I:$I,0)),"")</f>
        <v/>
      </c>
      <c r="B143" s="67" t="str">
        <f>IFERROR(INDEX(_Datos!B:B,MATCH(136,_Datos!$I:$I,0)),"")</f>
        <v/>
      </c>
      <c r="C143" s="67" t="str">
        <f>IFERROR(INDEX(_Datos!C:C,MATCH(136,_Datos!$I:$I,0)),"")</f>
        <v/>
      </c>
      <c r="D143" s="68" t="str">
        <f>IFERROR(INDEX(_Datos!D:D,MATCH(136,_Datos!$I:$I,0)),"")</f>
        <v/>
      </c>
      <c r="E143" s="69" t="str">
        <f>IFERROR(INDEX(_Datos!E:E,MATCH(136,_Datos!$I:$I,0)),"")</f>
        <v/>
      </c>
      <c r="F143" s="67" t="str">
        <f>IFERROR(INDEX(_Datos!F:F,MATCH(136,_Datos!$I:$I,0)),"")</f>
        <v/>
      </c>
      <c r="G143" s="67" t="str">
        <f>IFERROR(INDEX(_Datos!G:G,MATCH(136,_Datos!$I:$I,0)),"")</f>
        <v/>
      </c>
      <c r="H143" s="70" t="str">
        <f>IFERROR(INDEX(_Datos!H:H,MATCH(136,_Datos!$I:$I,0)),"")</f>
        <v/>
      </c>
    </row>
    <row r="144" spans="1:8" x14ac:dyDescent="0.2">
      <c r="A144" s="63" t="str">
        <f>IFERROR(INDEX(_Datos!A:A,MATCH(137,_Datos!$I:$I,0)),"")</f>
        <v/>
      </c>
      <c r="B144" s="63" t="str">
        <f>IFERROR(INDEX(_Datos!B:B,MATCH(137,_Datos!$I:$I,0)),"")</f>
        <v/>
      </c>
      <c r="C144" s="63" t="str">
        <f>IFERROR(INDEX(_Datos!C:C,MATCH(137,_Datos!$I:$I,0)),"")</f>
        <v/>
      </c>
      <c r="D144" s="64" t="str">
        <f>IFERROR(INDEX(_Datos!D:D,MATCH(137,_Datos!$I:$I,0)),"")</f>
        <v/>
      </c>
      <c r="E144" s="65" t="str">
        <f>IFERROR(INDEX(_Datos!E:E,MATCH(137,_Datos!$I:$I,0)),"")</f>
        <v/>
      </c>
      <c r="F144" s="63" t="str">
        <f>IFERROR(INDEX(_Datos!F:F,MATCH(137,_Datos!$I:$I,0)),"")</f>
        <v/>
      </c>
      <c r="G144" s="63" t="str">
        <f>IFERROR(INDEX(_Datos!G:G,MATCH(137,_Datos!$I:$I,0)),"")</f>
        <v/>
      </c>
      <c r="H144" s="66" t="str">
        <f>IFERROR(INDEX(_Datos!H:H,MATCH(137,_Datos!$I:$I,0)),"")</f>
        <v/>
      </c>
    </row>
    <row r="145" spans="1:8" x14ac:dyDescent="0.2">
      <c r="A145" s="67" t="str">
        <f>IFERROR(INDEX(_Datos!A:A,MATCH(138,_Datos!$I:$I,0)),"")</f>
        <v/>
      </c>
      <c r="B145" s="67" t="str">
        <f>IFERROR(INDEX(_Datos!B:B,MATCH(138,_Datos!$I:$I,0)),"")</f>
        <v/>
      </c>
      <c r="C145" s="67" t="str">
        <f>IFERROR(INDEX(_Datos!C:C,MATCH(138,_Datos!$I:$I,0)),"")</f>
        <v/>
      </c>
      <c r="D145" s="68" t="str">
        <f>IFERROR(INDEX(_Datos!D:D,MATCH(138,_Datos!$I:$I,0)),"")</f>
        <v/>
      </c>
      <c r="E145" s="69" t="str">
        <f>IFERROR(INDEX(_Datos!E:E,MATCH(138,_Datos!$I:$I,0)),"")</f>
        <v/>
      </c>
      <c r="F145" s="67" t="str">
        <f>IFERROR(INDEX(_Datos!F:F,MATCH(138,_Datos!$I:$I,0)),"")</f>
        <v/>
      </c>
      <c r="G145" s="67" t="str">
        <f>IFERROR(INDEX(_Datos!G:G,MATCH(138,_Datos!$I:$I,0)),"")</f>
        <v/>
      </c>
      <c r="H145" s="70" t="str">
        <f>IFERROR(INDEX(_Datos!H:H,MATCH(138,_Datos!$I:$I,0)),"")</f>
        <v/>
      </c>
    </row>
    <row r="146" spans="1:8" x14ac:dyDescent="0.2">
      <c r="A146" s="63" t="str">
        <f>IFERROR(INDEX(_Datos!A:A,MATCH(139,_Datos!$I:$I,0)),"")</f>
        <v/>
      </c>
      <c r="B146" s="63" t="str">
        <f>IFERROR(INDEX(_Datos!B:B,MATCH(139,_Datos!$I:$I,0)),"")</f>
        <v/>
      </c>
      <c r="C146" s="63" t="str">
        <f>IFERROR(INDEX(_Datos!C:C,MATCH(139,_Datos!$I:$I,0)),"")</f>
        <v/>
      </c>
      <c r="D146" s="64" t="str">
        <f>IFERROR(INDEX(_Datos!D:D,MATCH(139,_Datos!$I:$I,0)),"")</f>
        <v/>
      </c>
      <c r="E146" s="65" t="str">
        <f>IFERROR(INDEX(_Datos!E:E,MATCH(139,_Datos!$I:$I,0)),"")</f>
        <v/>
      </c>
      <c r="F146" s="63" t="str">
        <f>IFERROR(INDEX(_Datos!F:F,MATCH(139,_Datos!$I:$I,0)),"")</f>
        <v/>
      </c>
      <c r="G146" s="63" t="str">
        <f>IFERROR(INDEX(_Datos!G:G,MATCH(139,_Datos!$I:$I,0)),"")</f>
        <v/>
      </c>
      <c r="H146" s="66" t="str">
        <f>IFERROR(INDEX(_Datos!H:H,MATCH(139,_Datos!$I:$I,0)),"")</f>
        <v/>
      </c>
    </row>
    <row r="147" spans="1:8" x14ac:dyDescent="0.2">
      <c r="A147" s="67" t="str">
        <f>IFERROR(INDEX(_Datos!A:A,MATCH(140,_Datos!$I:$I,0)),"")</f>
        <v/>
      </c>
      <c r="B147" s="67" t="str">
        <f>IFERROR(INDEX(_Datos!B:B,MATCH(140,_Datos!$I:$I,0)),"")</f>
        <v/>
      </c>
      <c r="C147" s="67" t="str">
        <f>IFERROR(INDEX(_Datos!C:C,MATCH(140,_Datos!$I:$I,0)),"")</f>
        <v/>
      </c>
      <c r="D147" s="68" t="str">
        <f>IFERROR(INDEX(_Datos!D:D,MATCH(140,_Datos!$I:$I,0)),"")</f>
        <v/>
      </c>
      <c r="E147" s="69" t="str">
        <f>IFERROR(INDEX(_Datos!E:E,MATCH(140,_Datos!$I:$I,0)),"")</f>
        <v/>
      </c>
      <c r="F147" s="67" t="str">
        <f>IFERROR(INDEX(_Datos!F:F,MATCH(140,_Datos!$I:$I,0)),"")</f>
        <v/>
      </c>
      <c r="G147" s="67" t="str">
        <f>IFERROR(INDEX(_Datos!G:G,MATCH(140,_Datos!$I:$I,0)),"")</f>
        <v/>
      </c>
      <c r="H147" s="70" t="str">
        <f>IFERROR(INDEX(_Datos!H:H,MATCH(140,_Datos!$I:$I,0)),"")</f>
        <v/>
      </c>
    </row>
    <row r="148" spans="1:8" x14ac:dyDescent="0.2">
      <c r="A148" s="63" t="str">
        <f>IFERROR(INDEX(_Datos!A:A,MATCH(141,_Datos!$I:$I,0)),"")</f>
        <v/>
      </c>
      <c r="B148" s="63" t="str">
        <f>IFERROR(INDEX(_Datos!B:B,MATCH(141,_Datos!$I:$I,0)),"")</f>
        <v/>
      </c>
      <c r="C148" s="63" t="str">
        <f>IFERROR(INDEX(_Datos!C:C,MATCH(141,_Datos!$I:$I,0)),"")</f>
        <v/>
      </c>
      <c r="D148" s="64" t="str">
        <f>IFERROR(INDEX(_Datos!D:D,MATCH(141,_Datos!$I:$I,0)),"")</f>
        <v/>
      </c>
      <c r="E148" s="65" t="str">
        <f>IFERROR(INDEX(_Datos!E:E,MATCH(141,_Datos!$I:$I,0)),"")</f>
        <v/>
      </c>
      <c r="F148" s="63" t="str">
        <f>IFERROR(INDEX(_Datos!F:F,MATCH(141,_Datos!$I:$I,0)),"")</f>
        <v/>
      </c>
      <c r="G148" s="63" t="str">
        <f>IFERROR(INDEX(_Datos!G:G,MATCH(141,_Datos!$I:$I,0)),"")</f>
        <v/>
      </c>
      <c r="H148" s="66" t="str">
        <f>IFERROR(INDEX(_Datos!H:H,MATCH(141,_Datos!$I:$I,0)),"")</f>
        <v/>
      </c>
    </row>
    <row r="149" spans="1:8" x14ac:dyDescent="0.2">
      <c r="A149" s="67" t="str">
        <f>IFERROR(INDEX(_Datos!A:A,MATCH(142,_Datos!$I:$I,0)),"")</f>
        <v/>
      </c>
      <c r="B149" s="67" t="str">
        <f>IFERROR(INDEX(_Datos!B:B,MATCH(142,_Datos!$I:$I,0)),"")</f>
        <v/>
      </c>
      <c r="C149" s="67" t="str">
        <f>IFERROR(INDEX(_Datos!C:C,MATCH(142,_Datos!$I:$I,0)),"")</f>
        <v/>
      </c>
      <c r="D149" s="68" t="str">
        <f>IFERROR(INDEX(_Datos!D:D,MATCH(142,_Datos!$I:$I,0)),"")</f>
        <v/>
      </c>
      <c r="E149" s="69" t="str">
        <f>IFERROR(INDEX(_Datos!E:E,MATCH(142,_Datos!$I:$I,0)),"")</f>
        <v/>
      </c>
      <c r="F149" s="67" t="str">
        <f>IFERROR(INDEX(_Datos!F:F,MATCH(142,_Datos!$I:$I,0)),"")</f>
        <v/>
      </c>
      <c r="G149" s="67" t="str">
        <f>IFERROR(INDEX(_Datos!G:G,MATCH(142,_Datos!$I:$I,0)),"")</f>
        <v/>
      </c>
      <c r="H149" s="70" t="str">
        <f>IFERROR(INDEX(_Datos!H:H,MATCH(142,_Datos!$I:$I,0)),"")</f>
        <v/>
      </c>
    </row>
    <row r="150" spans="1:8" x14ac:dyDescent="0.2">
      <c r="A150" s="63" t="str">
        <f>IFERROR(INDEX(_Datos!A:A,MATCH(143,_Datos!$I:$I,0)),"")</f>
        <v/>
      </c>
      <c r="B150" s="63" t="str">
        <f>IFERROR(INDEX(_Datos!B:B,MATCH(143,_Datos!$I:$I,0)),"")</f>
        <v/>
      </c>
      <c r="C150" s="63" t="str">
        <f>IFERROR(INDEX(_Datos!C:C,MATCH(143,_Datos!$I:$I,0)),"")</f>
        <v/>
      </c>
      <c r="D150" s="64" t="str">
        <f>IFERROR(INDEX(_Datos!D:D,MATCH(143,_Datos!$I:$I,0)),"")</f>
        <v/>
      </c>
      <c r="E150" s="65" t="str">
        <f>IFERROR(INDEX(_Datos!E:E,MATCH(143,_Datos!$I:$I,0)),"")</f>
        <v/>
      </c>
      <c r="F150" s="63" t="str">
        <f>IFERROR(INDEX(_Datos!F:F,MATCH(143,_Datos!$I:$I,0)),"")</f>
        <v/>
      </c>
      <c r="G150" s="63" t="str">
        <f>IFERROR(INDEX(_Datos!G:G,MATCH(143,_Datos!$I:$I,0)),"")</f>
        <v/>
      </c>
      <c r="H150" s="66" t="str">
        <f>IFERROR(INDEX(_Datos!H:H,MATCH(143,_Datos!$I:$I,0)),"")</f>
        <v/>
      </c>
    </row>
    <row r="151" spans="1:8" x14ac:dyDescent="0.2">
      <c r="A151" s="67" t="str">
        <f>IFERROR(INDEX(_Datos!A:A,MATCH(144,_Datos!$I:$I,0)),"")</f>
        <v/>
      </c>
      <c r="B151" s="67" t="str">
        <f>IFERROR(INDEX(_Datos!B:B,MATCH(144,_Datos!$I:$I,0)),"")</f>
        <v/>
      </c>
      <c r="C151" s="67" t="str">
        <f>IFERROR(INDEX(_Datos!C:C,MATCH(144,_Datos!$I:$I,0)),"")</f>
        <v/>
      </c>
      <c r="D151" s="68" t="str">
        <f>IFERROR(INDEX(_Datos!D:D,MATCH(144,_Datos!$I:$I,0)),"")</f>
        <v/>
      </c>
      <c r="E151" s="69" t="str">
        <f>IFERROR(INDEX(_Datos!E:E,MATCH(144,_Datos!$I:$I,0)),"")</f>
        <v/>
      </c>
      <c r="F151" s="67" t="str">
        <f>IFERROR(INDEX(_Datos!F:F,MATCH(144,_Datos!$I:$I,0)),"")</f>
        <v/>
      </c>
      <c r="G151" s="67" t="str">
        <f>IFERROR(INDEX(_Datos!G:G,MATCH(144,_Datos!$I:$I,0)),"")</f>
        <v/>
      </c>
      <c r="H151" s="70" t="str">
        <f>IFERROR(INDEX(_Datos!H:H,MATCH(144,_Datos!$I:$I,0)),"")</f>
        <v/>
      </c>
    </row>
    <row r="152" spans="1:8" x14ac:dyDescent="0.2">
      <c r="A152" s="63" t="str">
        <f>IFERROR(INDEX(_Datos!A:A,MATCH(145,_Datos!$I:$I,0)),"")</f>
        <v/>
      </c>
      <c r="B152" s="63" t="str">
        <f>IFERROR(INDEX(_Datos!B:B,MATCH(145,_Datos!$I:$I,0)),"")</f>
        <v/>
      </c>
      <c r="C152" s="63" t="str">
        <f>IFERROR(INDEX(_Datos!C:C,MATCH(145,_Datos!$I:$I,0)),"")</f>
        <v/>
      </c>
      <c r="D152" s="64" t="str">
        <f>IFERROR(INDEX(_Datos!D:D,MATCH(145,_Datos!$I:$I,0)),"")</f>
        <v/>
      </c>
      <c r="E152" s="65" t="str">
        <f>IFERROR(INDEX(_Datos!E:E,MATCH(145,_Datos!$I:$I,0)),"")</f>
        <v/>
      </c>
      <c r="F152" s="63" t="str">
        <f>IFERROR(INDEX(_Datos!F:F,MATCH(145,_Datos!$I:$I,0)),"")</f>
        <v/>
      </c>
      <c r="G152" s="63" t="str">
        <f>IFERROR(INDEX(_Datos!G:G,MATCH(145,_Datos!$I:$I,0)),"")</f>
        <v/>
      </c>
      <c r="H152" s="66" t="str">
        <f>IFERROR(INDEX(_Datos!H:H,MATCH(145,_Datos!$I:$I,0)),"")</f>
        <v/>
      </c>
    </row>
    <row r="153" spans="1:8" x14ac:dyDescent="0.2">
      <c r="A153" s="67" t="str">
        <f>IFERROR(INDEX(_Datos!A:A,MATCH(146,_Datos!$I:$I,0)),"")</f>
        <v/>
      </c>
      <c r="B153" s="67" t="str">
        <f>IFERROR(INDEX(_Datos!B:B,MATCH(146,_Datos!$I:$I,0)),"")</f>
        <v/>
      </c>
      <c r="C153" s="67" t="str">
        <f>IFERROR(INDEX(_Datos!C:C,MATCH(146,_Datos!$I:$I,0)),"")</f>
        <v/>
      </c>
      <c r="D153" s="68" t="str">
        <f>IFERROR(INDEX(_Datos!D:D,MATCH(146,_Datos!$I:$I,0)),"")</f>
        <v/>
      </c>
      <c r="E153" s="69" t="str">
        <f>IFERROR(INDEX(_Datos!E:E,MATCH(146,_Datos!$I:$I,0)),"")</f>
        <v/>
      </c>
      <c r="F153" s="67" t="str">
        <f>IFERROR(INDEX(_Datos!F:F,MATCH(146,_Datos!$I:$I,0)),"")</f>
        <v/>
      </c>
      <c r="G153" s="67" t="str">
        <f>IFERROR(INDEX(_Datos!G:G,MATCH(146,_Datos!$I:$I,0)),"")</f>
        <v/>
      </c>
      <c r="H153" s="70" t="str">
        <f>IFERROR(INDEX(_Datos!H:H,MATCH(146,_Datos!$I:$I,0)),"")</f>
        <v/>
      </c>
    </row>
    <row r="154" spans="1:8" x14ac:dyDescent="0.2">
      <c r="A154" s="63" t="str">
        <f>IFERROR(INDEX(_Datos!A:A,MATCH(147,_Datos!$I:$I,0)),"")</f>
        <v/>
      </c>
      <c r="B154" s="63" t="str">
        <f>IFERROR(INDEX(_Datos!B:B,MATCH(147,_Datos!$I:$I,0)),"")</f>
        <v/>
      </c>
      <c r="C154" s="63" t="str">
        <f>IFERROR(INDEX(_Datos!C:C,MATCH(147,_Datos!$I:$I,0)),"")</f>
        <v/>
      </c>
      <c r="D154" s="64" t="str">
        <f>IFERROR(INDEX(_Datos!D:D,MATCH(147,_Datos!$I:$I,0)),"")</f>
        <v/>
      </c>
      <c r="E154" s="65" t="str">
        <f>IFERROR(INDEX(_Datos!E:E,MATCH(147,_Datos!$I:$I,0)),"")</f>
        <v/>
      </c>
      <c r="F154" s="63" t="str">
        <f>IFERROR(INDEX(_Datos!F:F,MATCH(147,_Datos!$I:$I,0)),"")</f>
        <v/>
      </c>
      <c r="G154" s="63" t="str">
        <f>IFERROR(INDEX(_Datos!G:G,MATCH(147,_Datos!$I:$I,0)),"")</f>
        <v/>
      </c>
      <c r="H154" s="66" t="str">
        <f>IFERROR(INDEX(_Datos!H:H,MATCH(147,_Datos!$I:$I,0)),"")</f>
        <v/>
      </c>
    </row>
    <row r="155" spans="1:8" x14ac:dyDescent="0.2">
      <c r="A155" s="67" t="str">
        <f>IFERROR(INDEX(_Datos!A:A,MATCH(148,_Datos!$I:$I,0)),"")</f>
        <v/>
      </c>
      <c r="B155" s="67" t="str">
        <f>IFERROR(INDEX(_Datos!B:B,MATCH(148,_Datos!$I:$I,0)),"")</f>
        <v/>
      </c>
      <c r="C155" s="67" t="str">
        <f>IFERROR(INDEX(_Datos!C:C,MATCH(148,_Datos!$I:$I,0)),"")</f>
        <v/>
      </c>
      <c r="D155" s="68" t="str">
        <f>IFERROR(INDEX(_Datos!D:D,MATCH(148,_Datos!$I:$I,0)),"")</f>
        <v/>
      </c>
      <c r="E155" s="69" t="str">
        <f>IFERROR(INDEX(_Datos!E:E,MATCH(148,_Datos!$I:$I,0)),"")</f>
        <v/>
      </c>
      <c r="F155" s="67" t="str">
        <f>IFERROR(INDEX(_Datos!F:F,MATCH(148,_Datos!$I:$I,0)),"")</f>
        <v/>
      </c>
      <c r="G155" s="67" t="str">
        <f>IFERROR(INDEX(_Datos!G:G,MATCH(148,_Datos!$I:$I,0)),"")</f>
        <v/>
      </c>
      <c r="H155" s="70" t="str">
        <f>IFERROR(INDEX(_Datos!H:H,MATCH(148,_Datos!$I:$I,0)),"")</f>
        <v/>
      </c>
    </row>
    <row r="156" spans="1:8" x14ac:dyDescent="0.2">
      <c r="A156" s="63" t="str">
        <f>IFERROR(INDEX(_Datos!A:A,MATCH(149,_Datos!$I:$I,0)),"")</f>
        <v/>
      </c>
      <c r="B156" s="63" t="str">
        <f>IFERROR(INDEX(_Datos!B:B,MATCH(149,_Datos!$I:$I,0)),"")</f>
        <v/>
      </c>
      <c r="C156" s="63" t="str">
        <f>IFERROR(INDEX(_Datos!C:C,MATCH(149,_Datos!$I:$I,0)),"")</f>
        <v/>
      </c>
      <c r="D156" s="64" t="str">
        <f>IFERROR(INDEX(_Datos!D:D,MATCH(149,_Datos!$I:$I,0)),"")</f>
        <v/>
      </c>
      <c r="E156" s="65" t="str">
        <f>IFERROR(INDEX(_Datos!E:E,MATCH(149,_Datos!$I:$I,0)),"")</f>
        <v/>
      </c>
      <c r="F156" s="63" t="str">
        <f>IFERROR(INDEX(_Datos!F:F,MATCH(149,_Datos!$I:$I,0)),"")</f>
        <v/>
      </c>
      <c r="G156" s="63" t="str">
        <f>IFERROR(INDEX(_Datos!G:G,MATCH(149,_Datos!$I:$I,0)),"")</f>
        <v/>
      </c>
      <c r="H156" s="66" t="str">
        <f>IFERROR(INDEX(_Datos!H:H,MATCH(149,_Datos!$I:$I,0)),"")</f>
        <v/>
      </c>
    </row>
    <row r="157" spans="1:8" x14ac:dyDescent="0.2">
      <c r="A157" s="67" t="str">
        <f>IFERROR(INDEX(_Datos!A:A,MATCH(150,_Datos!$I:$I,0)),"")</f>
        <v/>
      </c>
      <c r="B157" s="67" t="str">
        <f>IFERROR(INDEX(_Datos!B:B,MATCH(150,_Datos!$I:$I,0)),"")</f>
        <v/>
      </c>
      <c r="C157" s="67" t="str">
        <f>IFERROR(INDEX(_Datos!C:C,MATCH(150,_Datos!$I:$I,0)),"")</f>
        <v/>
      </c>
      <c r="D157" s="68" t="str">
        <f>IFERROR(INDEX(_Datos!D:D,MATCH(150,_Datos!$I:$I,0)),"")</f>
        <v/>
      </c>
      <c r="E157" s="69" t="str">
        <f>IFERROR(INDEX(_Datos!E:E,MATCH(150,_Datos!$I:$I,0)),"")</f>
        <v/>
      </c>
      <c r="F157" s="67" t="str">
        <f>IFERROR(INDEX(_Datos!F:F,MATCH(150,_Datos!$I:$I,0)),"")</f>
        <v/>
      </c>
      <c r="G157" s="67" t="str">
        <f>IFERROR(INDEX(_Datos!G:G,MATCH(150,_Datos!$I:$I,0)),"")</f>
        <v/>
      </c>
      <c r="H157" s="70" t="str">
        <f>IFERROR(INDEX(_Datos!H:H,MATCH(150,_Datos!$I:$I,0)),"")</f>
        <v/>
      </c>
    </row>
    <row r="158" spans="1:8" x14ac:dyDescent="0.2">
      <c r="A158" s="63" t="str">
        <f>IFERROR(INDEX(_Datos!A:A,MATCH(151,_Datos!$I:$I,0)),"")</f>
        <v/>
      </c>
      <c r="B158" s="63" t="str">
        <f>IFERROR(INDEX(_Datos!B:B,MATCH(151,_Datos!$I:$I,0)),"")</f>
        <v/>
      </c>
      <c r="C158" s="63" t="str">
        <f>IFERROR(INDEX(_Datos!C:C,MATCH(151,_Datos!$I:$I,0)),"")</f>
        <v/>
      </c>
      <c r="D158" s="64" t="str">
        <f>IFERROR(INDEX(_Datos!D:D,MATCH(151,_Datos!$I:$I,0)),"")</f>
        <v/>
      </c>
      <c r="E158" s="65" t="str">
        <f>IFERROR(INDEX(_Datos!E:E,MATCH(151,_Datos!$I:$I,0)),"")</f>
        <v/>
      </c>
      <c r="F158" s="63" t="str">
        <f>IFERROR(INDEX(_Datos!F:F,MATCH(151,_Datos!$I:$I,0)),"")</f>
        <v/>
      </c>
      <c r="G158" s="63" t="str">
        <f>IFERROR(INDEX(_Datos!G:G,MATCH(151,_Datos!$I:$I,0)),"")</f>
        <v/>
      </c>
      <c r="H158" s="66" t="str">
        <f>IFERROR(INDEX(_Datos!H:H,MATCH(151,_Datos!$I:$I,0)),"")</f>
        <v/>
      </c>
    </row>
    <row r="159" spans="1:8" x14ac:dyDescent="0.2">
      <c r="A159" s="67" t="str">
        <f>IFERROR(INDEX(_Datos!A:A,MATCH(152,_Datos!$I:$I,0)),"")</f>
        <v/>
      </c>
      <c r="B159" s="67" t="str">
        <f>IFERROR(INDEX(_Datos!B:B,MATCH(152,_Datos!$I:$I,0)),"")</f>
        <v/>
      </c>
      <c r="C159" s="67" t="str">
        <f>IFERROR(INDEX(_Datos!C:C,MATCH(152,_Datos!$I:$I,0)),"")</f>
        <v/>
      </c>
      <c r="D159" s="68" t="str">
        <f>IFERROR(INDEX(_Datos!D:D,MATCH(152,_Datos!$I:$I,0)),"")</f>
        <v/>
      </c>
      <c r="E159" s="69" t="str">
        <f>IFERROR(INDEX(_Datos!E:E,MATCH(152,_Datos!$I:$I,0)),"")</f>
        <v/>
      </c>
      <c r="F159" s="67" t="str">
        <f>IFERROR(INDEX(_Datos!F:F,MATCH(152,_Datos!$I:$I,0)),"")</f>
        <v/>
      </c>
      <c r="G159" s="67" t="str">
        <f>IFERROR(INDEX(_Datos!G:G,MATCH(152,_Datos!$I:$I,0)),"")</f>
        <v/>
      </c>
      <c r="H159" s="70" t="str">
        <f>IFERROR(INDEX(_Datos!H:H,MATCH(152,_Datos!$I:$I,0)),"")</f>
        <v/>
      </c>
    </row>
    <row r="160" spans="1:8" x14ac:dyDescent="0.2">
      <c r="A160" s="63" t="str">
        <f>IFERROR(INDEX(_Datos!A:A,MATCH(153,_Datos!$I:$I,0)),"")</f>
        <v/>
      </c>
      <c r="B160" s="63" t="str">
        <f>IFERROR(INDEX(_Datos!B:B,MATCH(153,_Datos!$I:$I,0)),"")</f>
        <v/>
      </c>
      <c r="C160" s="63" t="str">
        <f>IFERROR(INDEX(_Datos!C:C,MATCH(153,_Datos!$I:$I,0)),"")</f>
        <v/>
      </c>
      <c r="D160" s="64" t="str">
        <f>IFERROR(INDEX(_Datos!D:D,MATCH(153,_Datos!$I:$I,0)),"")</f>
        <v/>
      </c>
      <c r="E160" s="65" t="str">
        <f>IFERROR(INDEX(_Datos!E:E,MATCH(153,_Datos!$I:$I,0)),"")</f>
        <v/>
      </c>
      <c r="F160" s="63" t="str">
        <f>IFERROR(INDEX(_Datos!F:F,MATCH(153,_Datos!$I:$I,0)),"")</f>
        <v/>
      </c>
      <c r="G160" s="63" t="str">
        <f>IFERROR(INDEX(_Datos!G:G,MATCH(153,_Datos!$I:$I,0)),"")</f>
        <v/>
      </c>
      <c r="H160" s="66" t="str">
        <f>IFERROR(INDEX(_Datos!H:H,MATCH(153,_Datos!$I:$I,0)),"")</f>
        <v/>
      </c>
    </row>
    <row r="161" spans="1:8" x14ac:dyDescent="0.2">
      <c r="A161" s="67" t="str">
        <f>IFERROR(INDEX(_Datos!A:A,MATCH(154,_Datos!$I:$I,0)),"")</f>
        <v/>
      </c>
      <c r="B161" s="67" t="str">
        <f>IFERROR(INDEX(_Datos!B:B,MATCH(154,_Datos!$I:$I,0)),"")</f>
        <v/>
      </c>
      <c r="C161" s="67" t="str">
        <f>IFERROR(INDEX(_Datos!C:C,MATCH(154,_Datos!$I:$I,0)),"")</f>
        <v/>
      </c>
      <c r="D161" s="68" t="str">
        <f>IFERROR(INDEX(_Datos!D:D,MATCH(154,_Datos!$I:$I,0)),"")</f>
        <v/>
      </c>
      <c r="E161" s="69" t="str">
        <f>IFERROR(INDEX(_Datos!E:E,MATCH(154,_Datos!$I:$I,0)),"")</f>
        <v/>
      </c>
      <c r="F161" s="67" t="str">
        <f>IFERROR(INDEX(_Datos!F:F,MATCH(154,_Datos!$I:$I,0)),"")</f>
        <v/>
      </c>
      <c r="G161" s="67" t="str">
        <f>IFERROR(INDEX(_Datos!G:G,MATCH(154,_Datos!$I:$I,0)),"")</f>
        <v/>
      </c>
      <c r="H161" s="70" t="str">
        <f>IFERROR(INDEX(_Datos!H:H,MATCH(154,_Datos!$I:$I,0)),"")</f>
        <v/>
      </c>
    </row>
    <row r="162" spans="1:8" x14ac:dyDescent="0.2">
      <c r="A162" s="63" t="str">
        <f>IFERROR(INDEX(_Datos!A:A,MATCH(155,_Datos!$I:$I,0)),"")</f>
        <v/>
      </c>
      <c r="B162" s="63" t="str">
        <f>IFERROR(INDEX(_Datos!B:B,MATCH(155,_Datos!$I:$I,0)),"")</f>
        <v/>
      </c>
      <c r="C162" s="63" t="str">
        <f>IFERROR(INDEX(_Datos!C:C,MATCH(155,_Datos!$I:$I,0)),"")</f>
        <v/>
      </c>
      <c r="D162" s="64" t="str">
        <f>IFERROR(INDEX(_Datos!D:D,MATCH(155,_Datos!$I:$I,0)),"")</f>
        <v/>
      </c>
      <c r="E162" s="65" t="str">
        <f>IFERROR(INDEX(_Datos!E:E,MATCH(155,_Datos!$I:$I,0)),"")</f>
        <v/>
      </c>
      <c r="F162" s="63" t="str">
        <f>IFERROR(INDEX(_Datos!F:F,MATCH(155,_Datos!$I:$I,0)),"")</f>
        <v/>
      </c>
      <c r="G162" s="63" t="str">
        <f>IFERROR(INDEX(_Datos!G:G,MATCH(155,_Datos!$I:$I,0)),"")</f>
        <v/>
      </c>
      <c r="H162" s="66" t="str">
        <f>IFERROR(INDEX(_Datos!H:H,MATCH(155,_Datos!$I:$I,0)),"")</f>
        <v/>
      </c>
    </row>
    <row r="163" spans="1:8" x14ac:dyDescent="0.2">
      <c r="A163" s="67" t="str">
        <f>IFERROR(INDEX(_Datos!A:A,MATCH(156,_Datos!$I:$I,0)),"")</f>
        <v/>
      </c>
      <c r="B163" s="67" t="str">
        <f>IFERROR(INDEX(_Datos!B:B,MATCH(156,_Datos!$I:$I,0)),"")</f>
        <v/>
      </c>
      <c r="C163" s="67" t="str">
        <f>IFERROR(INDEX(_Datos!C:C,MATCH(156,_Datos!$I:$I,0)),"")</f>
        <v/>
      </c>
      <c r="D163" s="68" t="str">
        <f>IFERROR(INDEX(_Datos!D:D,MATCH(156,_Datos!$I:$I,0)),"")</f>
        <v/>
      </c>
      <c r="E163" s="69" t="str">
        <f>IFERROR(INDEX(_Datos!E:E,MATCH(156,_Datos!$I:$I,0)),"")</f>
        <v/>
      </c>
      <c r="F163" s="67" t="str">
        <f>IFERROR(INDEX(_Datos!F:F,MATCH(156,_Datos!$I:$I,0)),"")</f>
        <v/>
      </c>
      <c r="G163" s="67" t="str">
        <f>IFERROR(INDEX(_Datos!G:G,MATCH(156,_Datos!$I:$I,0)),"")</f>
        <v/>
      </c>
      <c r="H163" s="70" t="str">
        <f>IFERROR(INDEX(_Datos!H:H,MATCH(156,_Datos!$I:$I,0)),"")</f>
        <v/>
      </c>
    </row>
    <row r="164" spans="1:8" x14ac:dyDescent="0.2">
      <c r="A164" s="63" t="str">
        <f>IFERROR(INDEX(_Datos!A:A,MATCH(157,_Datos!$I:$I,0)),"")</f>
        <v/>
      </c>
      <c r="B164" s="63" t="str">
        <f>IFERROR(INDEX(_Datos!B:B,MATCH(157,_Datos!$I:$I,0)),"")</f>
        <v/>
      </c>
      <c r="C164" s="63" t="str">
        <f>IFERROR(INDEX(_Datos!C:C,MATCH(157,_Datos!$I:$I,0)),"")</f>
        <v/>
      </c>
      <c r="D164" s="64" t="str">
        <f>IFERROR(INDEX(_Datos!D:D,MATCH(157,_Datos!$I:$I,0)),"")</f>
        <v/>
      </c>
      <c r="E164" s="65" t="str">
        <f>IFERROR(INDEX(_Datos!E:E,MATCH(157,_Datos!$I:$I,0)),"")</f>
        <v/>
      </c>
      <c r="F164" s="63" t="str">
        <f>IFERROR(INDEX(_Datos!F:F,MATCH(157,_Datos!$I:$I,0)),"")</f>
        <v/>
      </c>
      <c r="G164" s="63" t="str">
        <f>IFERROR(INDEX(_Datos!G:G,MATCH(157,_Datos!$I:$I,0)),"")</f>
        <v/>
      </c>
      <c r="H164" s="66" t="str">
        <f>IFERROR(INDEX(_Datos!H:H,MATCH(157,_Datos!$I:$I,0)),"")</f>
        <v/>
      </c>
    </row>
    <row r="165" spans="1:8" x14ac:dyDescent="0.2">
      <c r="A165" s="67" t="str">
        <f>IFERROR(INDEX(_Datos!A:A,MATCH(158,_Datos!$I:$I,0)),"")</f>
        <v/>
      </c>
      <c r="B165" s="67" t="str">
        <f>IFERROR(INDEX(_Datos!B:B,MATCH(158,_Datos!$I:$I,0)),"")</f>
        <v/>
      </c>
      <c r="C165" s="67" t="str">
        <f>IFERROR(INDEX(_Datos!C:C,MATCH(158,_Datos!$I:$I,0)),"")</f>
        <v/>
      </c>
      <c r="D165" s="68" t="str">
        <f>IFERROR(INDEX(_Datos!D:D,MATCH(158,_Datos!$I:$I,0)),"")</f>
        <v/>
      </c>
      <c r="E165" s="69" t="str">
        <f>IFERROR(INDEX(_Datos!E:E,MATCH(158,_Datos!$I:$I,0)),"")</f>
        <v/>
      </c>
      <c r="F165" s="67" t="str">
        <f>IFERROR(INDEX(_Datos!F:F,MATCH(158,_Datos!$I:$I,0)),"")</f>
        <v/>
      </c>
      <c r="G165" s="67" t="str">
        <f>IFERROR(INDEX(_Datos!G:G,MATCH(158,_Datos!$I:$I,0)),"")</f>
        <v/>
      </c>
      <c r="H165" s="70" t="str">
        <f>IFERROR(INDEX(_Datos!H:H,MATCH(158,_Datos!$I:$I,0)),"")</f>
        <v/>
      </c>
    </row>
    <row r="166" spans="1:8" x14ac:dyDescent="0.2">
      <c r="A166" s="63" t="str">
        <f>IFERROR(INDEX(_Datos!A:A,MATCH(159,_Datos!$I:$I,0)),"")</f>
        <v/>
      </c>
      <c r="B166" s="63" t="str">
        <f>IFERROR(INDEX(_Datos!B:B,MATCH(159,_Datos!$I:$I,0)),"")</f>
        <v/>
      </c>
      <c r="C166" s="63" t="str">
        <f>IFERROR(INDEX(_Datos!C:C,MATCH(159,_Datos!$I:$I,0)),"")</f>
        <v/>
      </c>
      <c r="D166" s="64" t="str">
        <f>IFERROR(INDEX(_Datos!D:D,MATCH(159,_Datos!$I:$I,0)),"")</f>
        <v/>
      </c>
      <c r="E166" s="65" t="str">
        <f>IFERROR(INDEX(_Datos!E:E,MATCH(159,_Datos!$I:$I,0)),"")</f>
        <v/>
      </c>
      <c r="F166" s="63" t="str">
        <f>IFERROR(INDEX(_Datos!F:F,MATCH(159,_Datos!$I:$I,0)),"")</f>
        <v/>
      </c>
      <c r="G166" s="63" t="str">
        <f>IFERROR(INDEX(_Datos!G:G,MATCH(159,_Datos!$I:$I,0)),"")</f>
        <v/>
      </c>
      <c r="H166" s="66" t="str">
        <f>IFERROR(INDEX(_Datos!H:H,MATCH(159,_Datos!$I:$I,0)),"")</f>
        <v/>
      </c>
    </row>
    <row r="167" spans="1:8" x14ac:dyDescent="0.2">
      <c r="A167" s="67" t="str">
        <f>IFERROR(INDEX(_Datos!A:A,MATCH(160,_Datos!$I:$I,0)),"")</f>
        <v/>
      </c>
      <c r="B167" s="67" t="str">
        <f>IFERROR(INDEX(_Datos!B:B,MATCH(160,_Datos!$I:$I,0)),"")</f>
        <v/>
      </c>
      <c r="C167" s="67" t="str">
        <f>IFERROR(INDEX(_Datos!C:C,MATCH(160,_Datos!$I:$I,0)),"")</f>
        <v/>
      </c>
      <c r="D167" s="68" t="str">
        <f>IFERROR(INDEX(_Datos!D:D,MATCH(160,_Datos!$I:$I,0)),"")</f>
        <v/>
      </c>
      <c r="E167" s="69" t="str">
        <f>IFERROR(INDEX(_Datos!E:E,MATCH(160,_Datos!$I:$I,0)),"")</f>
        <v/>
      </c>
      <c r="F167" s="67" t="str">
        <f>IFERROR(INDEX(_Datos!F:F,MATCH(160,_Datos!$I:$I,0)),"")</f>
        <v/>
      </c>
      <c r="G167" s="67" t="str">
        <f>IFERROR(INDEX(_Datos!G:G,MATCH(160,_Datos!$I:$I,0)),"")</f>
        <v/>
      </c>
      <c r="H167" s="70" t="str">
        <f>IFERROR(INDEX(_Datos!H:H,MATCH(160,_Datos!$I:$I,0)),"")</f>
        <v/>
      </c>
    </row>
    <row r="168" spans="1:8" x14ac:dyDescent="0.2">
      <c r="A168" s="63" t="str">
        <f>IFERROR(INDEX(_Datos!A:A,MATCH(161,_Datos!$I:$I,0)),"")</f>
        <v/>
      </c>
      <c r="B168" s="63" t="str">
        <f>IFERROR(INDEX(_Datos!B:B,MATCH(161,_Datos!$I:$I,0)),"")</f>
        <v/>
      </c>
      <c r="C168" s="63" t="str">
        <f>IFERROR(INDEX(_Datos!C:C,MATCH(161,_Datos!$I:$I,0)),"")</f>
        <v/>
      </c>
      <c r="D168" s="64" t="str">
        <f>IFERROR(INDEX(_Datos!D:D,MATCH(161,_Datos!$I:$I,0)),"")</f>
        <v/>
      </c>
      <c r="E168" s="65" t="str">
        <f>IFERROR(INDEX(_Datos!E:E,MATCH(161,_Datos!$I:$I,0)),"")</f>
        <v/>
      </c>
      <c r="F168" s="63" t="str">
        <f>IFERROR(INDEX(_Datos!F:F,MATCH(161,_Datos!$I:$I,0)),"")</f>
        <v/>
      </c>
      <c r="G168" s="63" t="str">
        <f>IFERROR(INDEX(_Datos!G:G,MATCH(161,_Datos!$I:$I,0)),"")</f>
        <v/>
      </c>
      <c r="H168" s="66" t="str">
        <f>IFERROR(INDEX(_Datos!H:H,MATCH(161,_Datos!$I:$I,0)),"")</f>
        <v/>
      </c>
    </row>
    <row r="169" spans="1:8" x14ac:dyDescent="0.2">
      <c r="A169" s="67" t="str">
        <f>IFERROR(INDEX(_Datos!A:A,MATCH(162,_Datos!$I:$I,0)),"")</f>
        <v/>
      </c>
      <c r="B169" s="67" t="str">
        <f>IFERROR(INDEX(_Datos!B:B,MATCH(162,_Datos!$I:$I,0)),"")</f>
        <v/>
      </c>
      <c r="C169" s="67" t="str">
        <f>IFERROR(INDEX(_Datos!C:C,MATCH(162,_Datos!$I:$I,0)),"")</f>
        <v/>
      </c>
      <c r="D169" s="68" t="str">
        <f>IFERROR(INDEX(_Datos!D:D,MATCH(162,_Datos!$I:$I,0)),"")</f>
        <v/>
      </c>
      <c r="E169" s="69" t="str">
        <f>IFERROR(INDEX(_Datos!E:E,MATCH(162,_Datos!$I:$I,0)),"")</f>
        <v/>
      </c>
      <c r="F169" s="67" t="str">
        <f>IFERROR(INDEX(_Datos!F:F,MATCH(162,_Datos!$I:$I,0)),"")</f>
        <v/>
      </c>
      <c r="G169" s="67" t="str">
        <f>IFERROR(INDEX(_Datos!G:G,MATCH(162,_Datos!$I:$I,0)),"")</f>
        <v/>
      </c>
      <c r="H169" s="70" t="str">
        <f>IFERROR(INDEX(_Datos!H:H,MATCH(162,_Datos!$I:$I,0)),"")</f>
        <v/>
      </c>
    </row>
    <row r="170" spans="1:8" x14ac:dyDescent="0.2">
      <c r="A170" s="63" t="str">
        <f>IFERROR(INDEX(_Datos!A:A,MATCH(163,_Datos!$I:$I,0)),"")</f>
        <v/>
      </c>
      <c r="B170" s="63" t="str">
        <f>IFERROR(INDEX(_Datos!B:B,MATCH(163,_Datos!$I:$I,0)),"")</f>
        <v/>
      </c>
      <c r="C170" s="63" t="str">
        <f>IFERROR(INDEX(_Datos!C:C,MATCH(163,_Datos!$I:$I,0)),"")</f>
        <v/>
      </c>
      <c r="D170" s="64" t="str">
        <f>IFERROR(INDEX(_Datos!D:D,MATCH(163,_Datos!$I:$I,0)),"")</f>
        <v/>
      </c>
      <c r="E170" s="65" t="str">
        <f>IFERROR(INDEX(_Datos!E:E,MATCH(163,_Datos!$I:$I,0)),"")</f>
        <v/>
      </c>
      <c r="F170" s="63" t="str">
        <f>IFERROR(INDEX(_Datos!F:F,MATCH(163,_Datos!$I:$I,0)),"")</f>
        <v/>
      </c>
      <c r="G170" s="63" t="str">
        <f>IFERROR(INDEX(_Datos!G:G,MATCH(163,_Datos!$I:$I,0)),"")</f>
        <v/>
      </c>
      <c r="H170" s="66" t="str">
        <f>IFERROR(INDEX(_Datos!H:H,MATCH(163,_Datos!$I:$I,0)),"")</f>
        <v/>
      </c>
    </row>
    <row r="171" spans="1:8" x14ac:dyDescent="0.2">
      <c r="A171" s="67" t="str">
        <f>IFERROR(INDEX(_Datos!A:A,MATCH(164,_Datos!$I:$I,0)),"")</f>
        <v/>
      </c>
      <c r="B171" s="67" t="str">
        <f>IFERROR(INDEX(_Datos!B:B,MATCH(164,_Datos!$I:$I,0)),"")</f>
        <v/>
      </c>
      <c r="C171" s="67" t="str">
        <f>IFERROR(INDEX(_Datos!C:C,MATCH(164,_Datos!$I:$I,0)),"")</f>
        <v/>
      </c>
      <c r="D171" s="68" t="str">
        <f>IFERROR(INDEX(_Datos!D:D,MATCH(164,_Datos!$I:$I,0)),"")</f>
        <v/>
      </c>
      <c r="E171" s="69" t="str">
        <f>IFERROR(INDEX(_Datos!E:E,MATCH(164,_Datos!$I:$I,0)),"")</f>
        <v/>
      </c>
      <c r="F171" s="67" t="str">
        <f>IFERROR(INDEX(_Datos!F:F,MATCH(164,_Datos!$I:$I,0)),"")</f>
        <v/>
      </c>
      <c r="G171" s="67" t="str">
        <f>IFERROR(INDEX(_Datos!G:G,MATCH(164,_Datos!$I:$I,0)),"")</f>
        <v/>
      </c>
      <c r="H171" s="70" t="str">
        <f>IFERROR(INDEX(_Datos!H:H,MATCH(164,_Datos!$I:$I,0)),"")</f>
        <v/>
      </c>
    </row>
    <row r="172" spans="1:8" x14ac:dyDescent="0.2">
      <c r="A172" s="63" t="str">
        <f>IFERROR(INDEX(_Datos!A:A,MATCH(165,_Datos!$I:$I,0)),"")</f>
        <v/>
      </c>
      <c r="B172" s="63" t="str">
        <f>IFERROR(INDEX(_Datos!B:B,MATCH(165,_Datos!$I:$I,0)),"")</f>
        <v/>
      </c>
      <c r="C172" s="63" t="str">
        <f>IFERROR(INDEX(_Datos!C:C,MATCH(165,_Datos!$I:$I,0)),"")</f>
        <v/>
      </c>
      <c r="D172" s="64" t="str">
        <f>IFERROR(INDEX(_Datos!D:D,MATCH(165,_Datos!$I:$I,0)),"")</f>
        <v/>
      </c>
      <c r="E172" s="65" t="str">
        <f>IFERROR(INDEX(_Datos!E:E,MATCH(165,_Datos!$I:$I,0)),"")</f>
        <v/>
      </c>
      <c r="F172" s="63" t="str">
        <f>IFERROR(INDEX(_Datos!F:F,MATCH(165,_Datos!$I:$I,0)),"")</f>
        <v/>
      </c>
      <c r="G172" s="63" t="str">
        <f>IFERROR(INDEX(_Datos!G:G,MATCH(165,_Datos!$I:$I,0)),"")</f>
        <v/>
      </c>
      <c r="H172" s="66" t="str">
        <f>IFERROR(INDEX(_Datos!H:H,MATCH(165,_Datos!$I:$I,0)),"")</f>
        <v/>
      </c>
    </row>
    <row r="173" spans="1:8" x14ac:dyDescent="0.2">
      <c r="A173" s="67" t="str">
        <f>IFERROR(INDEX(_Datos!A:A,MATCH(166,_Datos!$I:$I,0)),"")</f>
        <v/>
      </c>
      <c r="B173" s="67" t="str">
        <f>IFERROR(INDEX(_Datos!B:B,MATCH(166,_Datos!$I:$I,0)),"")</f>
        <v/>
      </c>
      <c r="C173" s="67" t="str">
        <f>IFERROR(INDEX(_Datos!C:C,MATCH(166,_Datos!$I:$I,0)),"")</f>
        <v/>
      </c>
      <c r="D173" s="68" t="str">
        <f>IFERROR(INDEX(_Datos!D:D,MATCH(166,_Datos!$I:$I,0)),"")</f>
        <v/>
      </c>
      <c r="E173" s="69" t="str">
        <f>IFERROR(INDEX(_Datos!E:E,MATCH(166,_Datos!$I:$I,0)),"")</f>
        <v/>
      </c>
      <c r="F173" s="67" t="str">
        <f>IFERROR(INDEX(_Datos!F:F,MATCH(166,_Datos!$I:$I,0)),"")</f>
        <v/>
      </c>
      <c r="G173" s="67" t="str">
        <f>IFERROR(INDEX(_Datos!G:G,MATCH(166,_Datos!$I:$I,0)),"")</f>
        <v/>
      </c>
      <c r="H173" s="70" t="str">
        <f>IFERROR(INDEX(_Datos!H:H,MATCH(166,_Datos!$I:$I,0)),"")</f>
        <v/>
      </c>
    </row>
    <row r="174" spans="1:8" x14ac:dyDescent="0.2">
      <c r="A174" s="63" t="str">
        <f>IFERROR(INDEX(_Datos!A:A,MATCH(167,_Datos!$I:$I,0)),"")</f>
        <v/>
      </c>
      <c r="B174" s="63" t="str">
        <f>IFERROR(INDEX(_Datos!B:B,MATCH(167,_Datos!$I:$I,0)),"")</f>
        <v/>
      </c>
      <c r="C174" s="63" t="str">
        <f>IFERROR(INDEX(_Datos!C:C,MATCH(167,_Datos!$I:$I,0)),"")</f>
        <v/>
      </c>
      <c r="D174" s="64" t="str">
        <f>IFERROR(INDEX(_Datos!D:D,MATCH(167,_Datos!$I:$I,0)),"")</f>
        <v/>
      </c>
      <c r="E174" s="65" t="str">
        <f>IFERROR(INDEX(_Datos!E:E,MATCH(167,_Datos!$I:$I,0)),"")</f>
        <v/>
      </c>
      <c r="F174" s="63" t="str">
        <f>IFERROR(INDEX(_Datos!F:F,MATCH(167,_Datos!$I:$I,0)),"")</f>
        <v/>
      </c>
      <c r="G174" s="63" t="str">
        <f>IFERROR(INDEX(_Datos!G:G,MATCH(167,_Datos!$I:$I,0)),"")</f>
        <v/>
      </c>
      <c r="H174" s="66" t="str">
        <f>IFERROR(INDEX(_Datos!H:H,MATCH(167,_Datos!$I:$I,0)),"")</f>
        <v/>
      </c>
    </row>
    <row r="175" spans="1:8" x14ac:dyDescent="0.2">
      <c r="A175" s="67" t="str">
        <f>IFERROR(INDEX(_Datos!A:A,MATCH(168,_Datos!$I:$I,0)),"")</f>
        <v/>
      </c>
      <c r="B175" s="67" t="str">
        <f>IFERROR(INDEX(_Datos!B:B,MATCH(168,_Datos!$I:$I,0)),"")</f>
        <v/>
      </c>
      <c r="C175" s="67" t="str">
        <f>IFERROR(INDEX(_Datos!C:C,MATCH(168,_Datos!$I:$I,0)),"")</f>
        <v/>
      </c>
      <c r="D175" s="68" t="str">
        <f>IFERROR(INDEX(_Datos!D:D,MATCH(168,_Datos!$I:$I,0)),"")</f>
        <v/>
      </c>
      <c r="E175" s="69" t="str">
        <f>IFERROR(INDEX(_Datos!E:E,MATCH(168,_Datos!$I:$I,0)),"")</f>
        <v/>
      </c>
      <c r="F175" s="67" t="str">
        <f>IFERROR(INDEX(_Datos!F:F,MATCH(168,_Datos!$I:$I,0)),"")</f>
        <v/>
      </c>
      <c r="G175" s="67" t="str">
        <f>IFERROR(INDEX(_Datos!G:G,MATCH(168,_Datos!$I:$I,0)),"")</f>
        <v/>
      </c>
      <c r="H175" s="70" t="str">
        <f>IFERROR(INDEX(_Datos!H:H,MATCH(168,_Datos!$I:$I,0)),"")</f>
        <v/>
      </c>
    </row>
    <row r="176" spans="1:8" x14ac:dyDescent="0.2">
      <c r="A176" s="63" t="str">
        <f>IFERROR(INDEX(_Datos!A:A,MATCH(169,_Datos!$I:$I,0)),"")</f>
        <v/>
      </c>
      <c r="B176" s="63" t="str">
        <f>IFERROR(INDEX(_Datos!B:B,MATCH(169,_Datos!$I:$I,0)),"")</f>
        <v/>
      </c>
      <c r="C176" s="63" t="str">
        <f>IFERROR(INDEX(_Datos!C:C,MATCH(169,_Datos!$I:$I,0)),"")</f>
        <v/>
      </c>
      <c r="D176" s="64" t="str">
        <f>IFERROR(INDEX(_Datos!D:D,MATCH(169,_Datos!$I:$I,0)),"")</f>
        <v/>
      </c>
      <c r="E176" s="65" t="str">
        <f>IFERROR(INDEX(_Datos!E:E,MATCH(169,_Datos!$I:$I,0)),"")</f>
        <v/>
      </c>
      <c r="F176" s="63" t="str">
        <f>IFERROR(INDEX(_Datos!F:F,MATCH(169,_Datos!$I:$I,0)),"")</f>
        <v/>
      </c>
      <c r="G176" s="63" t="str">
        <f>IFERROR(INDEX(_Datos!G:G,MATCH(169,_Datos!$I:$I,0)),"")</f>
        <v/>
      </c>
      <c r="H176" s="66" t="str">
        <f>IFERROR(INDEX(_Datos!H:H,MATCH(169,_Datos!$I:$I,0)),"")</f>
        <v/>
      </c>
    </row>
    <row r="177" spans="1:8" x14ac:dyDescent="0.2">
      <c r="A177" s="67" t="str">
        <f>IFERROR(INDEX(_Datos!A:A,MATCH(170,_Datos!$I:$I,0)),"")</f>
        <v/>
      </c>
      <c r="B177" s="67" t="str">
        <f>IFERROR(INDEX(_Datos!B:B,MATCH(170,_Datos!$I:$I,0)),"")</f>
        <v/>
      </c>
      <c r="C177" s="67" t="str">
        <f>IFERROR(INDEX(_Datos!C:C,MATCH(170,_Datos!$I:$I,0)),"")</f>
        <v/>
      </c>
      <c r="D177" s="68" t="str">
        <f>IFERROR(INDEX(_Datos!D:D,MATCH(170,_Datos!$I:$I,0)),"")</f>
        <v/>
      </c>
      <c r="E177" s="69" t="str">
        <f>IFERROR(INDEX(_Datos!E:E,MATCH(170,_Datos!$I:$I,0)),"")</f>
        <v/>
      </c>
      <c r="F177" s="67" t="str">
        <f>IFERROR(INDEX(_Datos!F:F,MATCH(170,_Datos!$I:$I,0)),"")</f>
        <v/>
      </c>
      <c r="G177" s="67" t="str">
        <f>IFERROR(INDEX(_Datos!G:G,MATCH(170,_Datos!$I:$I,0)),"")</f>
        <v/>
      </c>
      <c r="H177" s="70" t="str">
        <f>IFERROR(INDEX(_Datos!H:H,MATCH(170,_Datos!$I:$I,0)),"")</f>
        <v/>
      </c>
    </row>
    <row r="178" spans="1:8" x14ac:dyDescent="0.2">
      <c r="A178" s="63" t="str">
        <f>IFERROR(INDEX(_Datos!A:A,MATCH(171,_Datos!$I:$I,0)),"")</f>
        <v/>
      </c>
      <c r="B178" s="63" t="str">
        <f>IFERROR(INDEX(_Datos!B:B,MATCH(171,_Datos!$I:$I,0)),"")</f>
        <v/>
      </c>
      <c r="C178" s="63" t="str">
        <f>IFERROR(INDEX(_Datos!C:C,MATCH(171,_Datos!$I:$I,0)),"")</f>
        <v/>
      </c>
      <c r="D178" s="64" t="str">
        <f>IFERROR(INDEX(_Datos!D:D,MATCH(171,_Datos!$I:$I,0)),"")</f>
        <v/>
      </c>
      <c r="E178" s="65" t="str">
        <f>IFERROR(INDEX(_Datos!E:E,MATCH(171,_Datos!$I:$I,0)),"")</f>
        <v/>
      </c>
      <c r="F178" s="63" t="str">
        <f>IFERROR(INDEX(_Datos!F:F,MATCH(171,_Datos!$I:$I,0)),"")</f>
        <v/>
      </c>
      <c r="G178" s="63" t="str">
        <f>IFERROR(INDEX(_Datos!G:G,MATCH(171,_Datos!$I:$I,0)),"")</f>
        <v/>
      </c>
      <c r="H178" s="66" t="str">
        <f>IFERROR(INDEX(_Datos!H:H,MATCH(171,_Datos!$I:$I,0)),"")</f>
        <v/>
      </c>
    </row>
    <row r="179" spans="1:8" x14ac:dyDescent="0.2">
      <c r="A179" s="67" t="str">
        <f>IFERROR(INDEX(_Datos!A:A,MATCH(172,_Datos!$I:$I,0)),"")</f>
        <v/>
      </c>
      <c r="B179" s="67" t="str">
        <f>IFERROR(INDEX(_Datos!B:B,MATCH(172,_Datos!$I:$I,0)),"")</f>
        <v/>
      </c>
      <c r="C179" s="67" t="str">
        <f>IFERROR(INDEX(_Datos!C:C,MATCH(172,_Datos!$I:$I,0)),"")</f>
        <v/>
      </c>
      <c r="D179" s="68" t="str">
        <f>IFERROR(INDEX(_Datos!D:D,MATCH(172,_Datos!$I:$I,0)),"")</f>
        <v/>
      </c>
      <c r="E179" s="69" t="str">
        <f>IFERROR(INDEX(_Datos!E:E,MATCH(172,_Datos!$I:$I,0)),"")</f>
        <v/>
      </c>
      <c r="F179" s="67" t="str">
        <f>IFERROR(INDEX(_Datos!F:F,MATCH(172,_Datos!$I:$I,0)),"")</f>
        <v/>
      </c>
      <c r="G179" s="67" t="str">
        <f>IFERROR(INDEX(_Datos!G:G,MATCH(172,_Datos!$I:$I,0)),"")</f>
        <v/>
      </c>
      <c r="H179" s="70" t="str">
        <f>IFERROR(INDEX(_Datos!H:H,MATCH(172,_Datos!$I:$I,0)),"")</f>
        <v/>
      </c>
    </row>
    <row r="180" spans="1:8" x14ac:dyDescent="0.2">
      <c r="A180" s="63" t="str">
        <f>IFERROR(INDEX(_Datos!A:A,MATCH(173,_Datos!$I:$I,0)),"")</f>
        <v/>
      </c>
      <c r="B180" s="63" t="str">
        <f>IFERROR(INDEX(_Datos!B:B,MATCH(173,_Datos!$I:$I,0)),"")</f>
        <v/>
      </c>
      <c r="C180" s="63" t="str">
        <f>IFERROR(INDEX(_Datos!C:C,MATCH(173,_Datos!$I:$I,0)),"")</f>
        <v/>
      </c>
      <c r="D180" s="64" t="str">
        <f>IFERROR(INDEX(_Datos!D:D,MATCH(173,_Datos!$I:$I,0)),"")</f>
        <v/>
      </c>
      <c r="E180" s="65" t="str">
        <f>IFERROR(INDEX(_Datos!E:E,MATCH(173,_Datos!$I:$I,0)),"")</f>
        <v/>
      </c>
      <c r="F180" s="63" t="str">
        <f>IFERROR(INDEX(_Datos!F:F,MATCH(173,_Datos!$I:$I,0)),"")</f>
        <v/>
      </c>
      <c r="G180" s="63" t="str">
        <f>IFERROR(INDEX(_Datos!G:G,MATCH(173,_Datos!$I:$I,0)),"")</f>
        <v/>
      </c>
      <c r="H180" s="66" t="str">
        <f>IFERROR(INDEX(_Datos!H:H,MATCH(173,_Datos!$I:$I,0)),"")</f>
        <v/>
      </c>
    </row>
    <row r="181" spans="1:8" x14ac:dyDescent="0.2">
      <c r="A181" s="67" t="str">
        <f>IFERROR(INDEX(_Datos!A:A,MATCH(174,_Datos!$I:$I,0)),"")</f>
        <v/>
      </c>
      <c r="B181" s="67" t="str">
        <f>IFERROR(INDEX(_Datos!B:B,MATCH(174,_Datos!$I:$I,0)),"")</f>
        <v/>
      </c>
      <c r="C181" s="67" t="str">
        <f>IFERROR(INDEX(_Datos!C:C,MATCH(174,_Datos!$I:$I,0)),"")</f>
        <v/>
      </c>
      <c r="D181" s="68" t="str">
        <f>IFERROR(INDEX(_Datos!D:D,MATCH(174,_Datos!$I:$I,0)),"")</f>
        <v/>
      </c>
      <c r="E181" s="69" t="str">
        <f>IFERROR(INDEX(_Datos!E:E,MATCH(174,_Datos!$I:$I,0)),"")</f>
        <v/>
      </c>
      <c r="F181" s="67" t="str">
        <f>IFERROR(INDEX(_Datos!F:F,MATCH(174,_Datos!$I:$I,0)),"")</f>
        <v/>
      </c>
      <c r="G181" s="67" t="str">
        <f>IFERROR(INDEX(_Datos!G:G,MATCH(174,_Datos!$I:$I,0)),"")</f>
        <v/>
      </c>
      <c r="H181" s="70" t="str">
        <f>IFERROR(INDEX(_Datos!H:H,MATCH(174,_Datos!$I:$I,0)),"")</f>
        <v/>
      </c>
    </row>
    <row r="182" spans="1:8" x14ac:dyDescent="0.2">
      <c r="A182" s="63" t="str">
        <f>IFERROR(INDEX(_Datos!A:A,MATCH(175,_Datos!$I:$I,0)),"")</f>
        <v/>
      </c>
      <c r="B182" s="63" t="str">
        <f>IFERROR(INDEX(_Datos!B:B,MATCH(175,_Datos!$I:$I,0)),"")</f>
        <v/>
      </c>
      <c r="C182" s="63" t="str">
        <f>IFERROR(INDEX(_Datos!C:C,MATCH(175,_Datos!$I:$I,0)),"")</f>
        <v/>
      </c>
      <c r="D182" s="64" t="str">
        <f>IFERROR(INDEX(_Datos!D:D,MATCH(175,_Datos!$I:$I,0)),"")</f>
        <v/>
      </c>
      <c r="E182" s="65" t="str">
        <f>IFERROR(INDEX(_Datos!E:E,MATCH(175,_Datos!$I:$I,0)),"")</f>
        <v/>
      </c>
      <c r="F182" s="63" t="str">
        <f>IFERROR(INDEX(_Datos!F:F,MATCH(175,_Datos!$I:$I,0)),"")</f>
        <v/>
      </c>
      <c r="G182" s="63" t="str">
        <f>IFERROR(INDEX(_Datos!G:G,MATCH(175,_Datos!$I:$I,0)),"")</f>
        <v/>
      </c>
      <c r="H182" s="66" t="str">
        <f>IFERROR(INDEX(_Datos!H:H,MATCH(175,_Datos!$I:$I,0)),"")</f>
        <v/>
      </c>
    </row>
    <row r="183" spans="1:8" x14ac:dyDescent="0.2">
      <c r="A183" s="67" t="str">
        <f>IFERROR(INDEX(_Datos!A:A,MATCH(176,_Datos!$I:$I,0)),"")</f>
        <v/>
      </c>
      <c r="B183" s="67" t="str">
        <f>IFERROR(INDEX(_Datos!B:B,MATCH(176,_Datos!$I:$I,0)),"")</f>
        <v/>
      </c>
      <c r="C183" s="67" t="str">
        <f>IFERROR(INDEX(_Datos!C:C,MATCH(176,_Datos!$I:$I,0)),"")</f>
        <v/>
      </c>
      <c r="D183" s="68" t="str">
        <f>IFERROR(INDEX(_Datos!D:D,MATCH(176,_Datos!$I:$I,0)),"")</f>
        <v/>
      </c>
      <c r="E183" s="69" t="str">
        <f>IFERROR(INDEX(_Datos!E:E,MATCH(176,_Datos!$I:$I,0)),"")</f>
        <v/>
      </c>
      <c r="F183" s="67" t="str">
        <f>IFERROR(INDEX(_Datos!F:F,MATCH(176,_Datos!$I:$I,0)),"")</f>
        <v/>
      </c>
      <c r="G183" s="67" t="str">
        <f>IFERROR(INDEX(_Datos!G:G,MATCH(176,_Datos!$I:$I,0)),"")</f>
        <v/>
      </c>
      <c r="H183" s="70" t="str">
        <f>IFERROR(INDEX(_Datos!H:H,MATCH(176,_Datos!$I:$I,0)),"")</f>
        <v/>
      </c>
    </row>
    <row r="184" spans="1:8" x14ac:dyDescent="0.2">
      <c r="A184" s="63" t="str">
        <f>IFERROR(INDEX(_Datos!A:A,MATCH(177,_Datos!$I:$I,0)),"")</f>
        <v/>
      </c>
      <c r="B184" s="63" t="str">
        <f>IFERROR(INDEX(_Datos!B:B,MATCH(177,_Datos!$I:$I,0)),"")</f>
        <v/>
      </c>
      <c r="C184" s="63" t="str">
        <f>IFERROR(INDEX(_Datos!C:C,MATCH(177,_Datos!$I:$I,0)),"")</f>
        <v/>
      </c>
      <c r="D184" s="64" t="str">
        <f>IFERROR(INDEX(_Datos!D:D,MATCH(177,_Datos!$I:$I,0)),"")</f>
        <v/>
      </c>
      <c r="E184" s="65" t="str">
        <f>IFERROR(INDEX(_Datos!E:E,MATCH(177,_Datos!$I:$I,0)),"")</f>
        <v/>
      </c>
      <c r="F184" s="63" t="str">
        <f>IFERROR(INDEX(_Datos!F:F,MATCH(177,_Datos!$I:$I,0)),"")</f>
        <v/>
      </c>
      <c r="G184" s="63" t="str">
        <f>IFERROR(INDEX(_Datos!G:G,MATCH(177,_Datos!$I:$I,0)),"")</f>
        <v/>
      </c>
      <c r="H184" s="66" t="str">
        <f>IFERROR(INDEX(_Datos!H:H,MATCH(177,_Datos!$I:$I,0)),"")</f>
        <v/>
      </c>
    </row>
    <row r="185" spans="1:8" x14ac:dyDescent="0.2">
      <c r="A185" s="67" t="str">
        <f>IFERROR(INDEX(_Datos!A:A,MATCH(178,_Datos!$I:$I,0)),"")</f>
        <v/>
      </c>
      <c r="B185" s="67" t="str">
        <f>IFERROR(INDEX(_Datos!B:B,MATCH(178,_Datos!$I:$I,0)),"")</f>
        <v/>
      </c>
      <c r="C185" s="67" t="str">
        <f>IFERROR(INDEX(_Datos!C:C,MATCH(178,_Datos!$I:$I,0)),"")</f>
        <v/>
      </c>
      <c r="D185" s="68" t="str">
        <f>IFERROR(INDEX(_Datos!D:D,MATCH(178,_Datos!$I:$I,0)),"")</f>
        <v/>
      </c>
      <c r="E185" s="69" t="str">
        <f>IFERROR(INDEX(_Datos!E:E,MATCH(178,_Datos!$I:$I,0)),"")</f>
        <v/>
      </c>
      <c r="F185" s="67" t="str">
        <f>IFERROR(INDEX(_Datos!F:F,MATCH(178,_Datos!$I:$I,0)),"")</f>
        <v/>
      </c>
      <c r="G185" s="67" t="str">
        <f>IFERROR(INDEX(_Datos!G:G,MATCH(178,_Datos!$I:$I,0)),"")</f>
        <v/>
      </c>
      <c r="H185" s="70" t="str">
        <f>IFERROR(INDEX(_Datos!H:H,MATCH(178,_Datos!$I:$I,0)),"")</f>
        <v/>
      </c>
    </row>
    <row r="186" spans="1:8" x14ac:dyDescent="0.2">
      <c r="A186" s="63" t="str">
        <f>IFERROR(INDEX(_Datos!A:A,MATCH(179,_Datos!$I:$I,0)),"")</f>
        <v/>
      </c>
      <c r="B186" s="63" t="str">
        <f>IFERROR(INDEX(_Datos!B:B,MATCH(179,_Datos!$I:$I,0)),"")</f>
        <v/>
      </c>
      <c r="C186" s="63" t="str">
        <f>IFERROR(INDEX(_Datos!C:C,MATCH(179,_Datos!$I:$I,0)),"")</f>
        <v/>
      </c>
      <c r="D186" s="64" t="str">
        <f>IFERROR(INDEX(_Datos!D:D,MATCH(179,_Datos!$I:$I,0)),"")</f>
        <v/>
      </c>
      <c r="E186" s="65" t="str">
        <f>IFERROR(INDEX(_Datos!E:E,MATCH(179,_Datos!$I:$I,0)),"")</f>
        <v/>
      </c>
      <c r="F186" s="63" t="str">
        <f>IFERROR(INDEX(_Datos!F:F,MATCH(179,_Datos!$I:$I,0)),"")</f>
        <v/>
      </c>
      <c r="G186" s="63" t="str">
        <f>IFERROR(INDEX(_Datos!G:G,MATCH(179,_Datos!$I:$I,0)),"")</f>
        <v/>
      </c>
      <c r="H186" s="66" t="str">
        <f>IFERROR(INDEX(_Datos!H:H,MATCH(179,_Datos!$I:$I,0)),"")</f>
        <v/>
      </c>
    </row>
    <row r="187" spans="1:8" x14ac:dyDescent="0.2">
      <c r="A187" s="67" t="str">
        <f>IFERROR(INDEX(_Datos!A:A,MATCH(180,_Datos!$I:$I,0)),"")</f>
        <v/>
      </c>
      <c r="B187" s="67" t="str">
        <f>IFERROR(INDEX(_Datos!B:B,MATCH(180,_Datos!$I:$I,0)),"")</f>
        <v/>
      </c>
      <c r="C187" s="67" t="str">
        <f>IFERROR(INDEX(_Datos!C:C,MATCH(180,_Datos!$I:$I,0)),"")</f>
        <v/>
      </c>
      <c r="D187" s="68" t="str">
        <f>IFERROR(INDEX(_Datos!D:D,MATCH(180,_Datos!$I:$I,0)),"")</f>
        <v/>
      </c>
      <c r="E187" s="69" t="str">
        <f>IFERROR(INDEX(_Datos!E:E,MATCH(180,_Datos!$I:$I,0)),"")</f>
        <v/>
      </c>
      <c r="F187" s="67" t="str">
        <f>IFERROR(INDEX(_Datos!F:F,MATCH(180,_Datos!$I:$I,0)),"")</f>
        <v/>
      </c>
      <c r="G187" s="67" t="str">
        <f>IFERROR(INDEX(_Datos!G:G,MATCH(180,_Datos!$I:$I,0)),"")</f>
        <v/>
      </c>
      <c r="H187" s="70" t="str">
        <f>IFERROR(INDEX(_Datos!H:H,MATCH(180,_Datos!$I:$I,0)),"")</f>
        <v/>
      </c>
    </row>
    <row r="188" spans="1:8" x14ac:dyDescent="0.2">
      <c r="A188" s="63" t="str">
        <f>IFERROR(INDEX(_Datos!A:A,MATCH(181,_Datos!$I:$I,0)),"")</f>
        <v/>
      </c>
      <c r="B188" s="63" t="str">
        <f>IFERROR(INDEX(_Datos!B:B,MATCH(181,_Datos!$I:$I,0)),"")</f>
        <v/>
      </c>
      <c r="C188" s="63" t="str">
        <f>IFERROR(INDEX(_Datos!C:C,MATCH(181,_Datos!$I:$I,0)),"")</f>
        <v/>
      </c>
      <c r="D188" s="64" t="str">
        <f>IFERROR(INDEX(_Datos!D:D,MATCH(181,_Datos!$I:$I,0)),"")</f>
        <v/>
      </c>
      <c r="E188" s="65" t="str">
        <f>IFERROR(INDEX(_Datos!E:E,MATCH(181,_Datos!$I:$I,0)),"")</f>
        <v/>
      </c>
      <c r="F188" s="63" t="str">
        <f>IFERROR(INDEX(_Datos!F:F,MATCH(181,_Datos!$I:$I,0)),"")</f>
        <v/>
      </c>
      <c r="G188" s="63" t="str">
        <f>IFERROR(INDEX(_Datos!G:G,MATCH(181,_Datos!$I:$I,0)),"")</f>
        <v/>
      </c>
      <c r="H188" s="66" t="str">
        <f>IFERROR(INDEX(_Datos!H:H,MATCH(181,_Datos!$I:$I,0)),"")</f>
        <v/>
      </c>
    </row>
    <row r="189" spans="1:8" x14ac:dyDescent="0.2">
      <c r="A189" s="67" t="str">
        <f>IFERROR(INDEX(_Datos!A:A,MATCH(182,_Datos!$I:$I,0)),"")</f>
        <v/>
      </c>
      <c r="B189" s="67" t="str">
        <f>IFERROR(INDEX(_Datos!B:B,MATCH(182,_Datos!$I:$I,0)),"")</f>
        <v/>
      </c>
      <c r="C189" s="67" t="str">
        <f>IFERROR(INDEX(_Datos!C:C,MATCH(182,_Datos!$I:$I,0)),"")</f>
        <v/>
      </c>
      <c r="D189" s="68" t="str">
        <f>IFERROR(INDEX(_Datos!D:D,MATCH(182,_Datos!$I:$I,0)),"")</f>
        <v/>
      </c>
      <c r="E189" s="69" t="str">
        <f>IFERROR(INDEX(_Datos!E:E,MATCH(182,_Datos!$I:$I,0)),"")</f>
        <v/>
      </c>
      <c r="F189" s="67" t="str">
        <f>IFERROR(INDEX(_Datos!F:F,MATCH(182,_Datos!$I:$I,0)),"")</f>
        <v/>
      </c>
      <c r="G189" s="67" t="str">
        <f>IFERROR(INDEX(_Datos!G:G,MATCH(182,_Datos!$I:$I,0)),"")</f>
        <v/>
      </c>
      <c r="H189" s="70" t="str">
        <f>IFERROR(INDEX(_Datos!H:H,MATCH(182,_Datos!$I:$I,0)),"")</f>
        <v/>
      </c>
    </row>
    <row r="190" spans="1:8" x14ac:dyDescent="0.2">
      <c r="A190" s="63" t="str">
        <f>IFERROR(INDEX(_Datos!A:A,MATCH(183,_Datos!$I:$I,0)),"")</f>
        <v/>
      </c>
      <c r="B190" s="63" t="str">
        <f>IFERROR(INDEX(_Datos!B:B,MATCH(183,_Datos!$I:$I,0)),"")</f>
        <v/>
      </c>
      <c r="C190" s="63" t="str">
        <f>IFERROR(INDEX(_Datos!C:C,MATCH(183,_Datos!$I:$I,0)),"")</f>
        <v/>
      </c>
      <c r="D190" s="64" t="str">
        <f>IFERROR(INDEX(_Datos!D:D,MATCH(183,_Datos!$I:$I,0)),"")</f>
        <v/>
      </c>
      <c r="E190" s="65" t="str">
        <f>IFERROR(INDEX(_Datos!E:E,MATCH(183,_Datos!$I:$I,0)),"")</f>
        <v/>
      </c>
      <c r="F190" s="63" t="str">
        <f>IFERROR(INDEX(_Datos!F:F,MATCH(183,_Datos!$I:$I,0)),"")</f>
        <v/>
      </c>
      <c r="G190" s="63" t="str">
        <f>IFERROR(INDEX(_Datos!G:G,MATCH(183,_Datos!$I:$I,0)),"")</f>
        <v/>
      </c>
      <c r="H190" s="66" t="str">
        <f>IFERROR(INDEX(_Datos!H:H,MATCH(183,_Datos!$I:$I,0)),"")</f>
        <v/>
      </c>
    </row>
    <row r="191" spans="1:8" x14ac:dyDescent="0.2">
      <c r="A191" s="67" t="str">
        <f>IFERROR(INDEX(_Datos!A:A,MATCH(184,_Datos!$I:$I,0)),"")</f>
        <v/>
      </c>
      <c r="B191" s="67" t="str">
        <f>IFERROR(INDEX(_Datos!B:B,MATCH(184,_Datos!$I:$I,0)),"")</f>
        <v/>
      </c>
      <c r="C191" s="67" t="str">
        <f>IFERROR(INDEX(_Datos!C:C,MATCH(184,_Datos!$I:$I,0)),"")</f>
        <v/>
      </c>
      <c r="D191" s="68" t="str">
        <f>IFERROR(INDEX(_Datos!D:D,MATCH(184,_Datos!$I:$I,0)),"")</f>
        <v/>
      </c>
      <c r="E191" s="69" t="str">
        <f>IFERROR(INDEX(_Datos!E:E,MATCH(184,_Datos!$I:$I,0)),"")</f>
        <v/>
      </c>
      <c r="F191" s="67" t="str">
        <f>IFERROR(INDEX(_Datos!F:F,MATCH(184,_Datos!$I:$I,0)),"")</f>
        <v/>
      </c>
      <c r="G191" s="67" t="str">
        <f>IFERROR(INDEX(_Datos!G:G,MATCH(184,_Datos!$I:$I,0)),"")</f>
        <v/>
      </c>
      <c r="H191" s="70" t="str">
        <f>IFERROR(INDEX(_Datos!H:H,MATCH(184,_Datos!$I:$I,0)),"")</f>
        <v/>
      </c>
    </row>
    <row r="192" spans="1:8" x14ac:dyDescent="0.2">
      <c r="A192" s="63" t="str">
        <f>IFERROR(INDEX(_Datos!A:A,MATCH(185,_Datos!$I:$I,0)),"")</f>
        <v/>
      </c>
      <c r="B192" s="63" t="str">
        <f>IFERROR(INDEX(_Datos!B:B,MATCH(185,_Datos!$I:$I,0)),"")</f>
        <v/>
      </c>
      <c r="C192" s="63" t="str">
        <f>IFERROR(INDEX(_Datos!C:C,MATCH(185,_Datos!$I:$I,0)),"")</f>
        <v/>
      </c>
      <c r="D192" s="64" t="str">
        <f>IFERROR(INDEX(_Datos!D:D,MATCH(185,_Datos!$I:$I,0)),"")</f>
        <v/>
      </c>
      <c r="E192" s="65" t="str">
        <f>IFERROR(INDEX(_Datos!E:E,MATCH(185,_Datos!$I:$I,0)),"")</f>
        <v/>
      </c>
      <c r="F192" s="63" t="str">
        <f>IFERROR(INDEX(_Datos!F:F,MATCH(185,_Datos!$I:$I,0)),"")</f>
        <v/>
      </c>
      <c r="G192" s="63" t="str">
        <f>IFERROR(INDEX(_Datos!G:G,MATCH(185,_Datos!$I:$I,0)),"")</f>
        <v/>
      </c>
      <c r="H192" s="66" t="str">
        <f>IFERROR(INDEX(_Datos!H:H,MATCH(185,_Datos!$I:$I,0)),"")</f>
        <v/>
      </c>
    </row>
    <row r="193" spans="1:8" x14ac:dyDescent="0.2">
      <c r="A193" s="67" t="str">
        <f>IFERROR(INDEX(_Datos!A:A,MATCH(186,_Datos!$I:$I,0)),"")</f>
        <v/>
      </c>
      <c r="B193" s="67" t="str">
        <f>IFERROR(INDEX(_Datos!B:B,MATCH(186,_Datos!$I:$I,0)),"")</f>
        <v/>
      </c>
      <c r="C193" s="67" t="str">
        <f>IFERROR(INDEX(_Datos!C:C,MATCH(186,_Datos!$I:$I,0)),"")</f>
        <v/>
      </c>
      <c r="D193" s="68" t="str">
        <f>IFERROR(INDEX(_Datos!D:D,MATCH(186,_Datos!$I:$I,0)),"")</f>
        <v/>
      </c>
      <c r="E193" s="69" t="str">
        <f>IFERROR(INDEX(_Datos!E:E,MATCH(186,_Datos!$I:$I,0)),"")</f>
        <v/>
      </c>
      <c r="F193" s="67" t="str">
        <f>IFERROR(INDEX(_Datos!F:F,MATCH(186,_Datos!$I:$I,0)),"")</f>
        <v/>
      </c>
      <c r="G193" s="67" t="str">
        <f>IFERROR(INDEX(_Datos!G:G,MATCH(186,_Datos!$I:$I,0)),"")</f>
        <v/>
      </c>
      <c r="H193" s="70" t="str">
        <f>IFERROR(INDEX(_Datos!H:H,MATCH(186,_Datos!$I:$I,0)),"")</f>
        <v/>
      </c>
    </row>
    <row r="194" spans="1:8" x14ac:dyDescent="0.2">
      <c r="A194" s="63" t="str">
        <f>IFERROR(INDEX(_Datos!A:A,MATCH(187,_Datos!$I:$I,0)),"")</f>
        <v/>
      </c>
      <c r="B194" s="63" t="str">
        <f>IFERROR(INDEX(_Datos!B:B,MATCH(187,_Datos!$I:$I,0)),"")</f>
        <v/>
      </c>
      <c r="C194" s="63" t="str">
        <f>IFERROR(INDEX(_Datos!C:C,MATCH(187,_Datos!$I:$I,0)),"")</f>
        <v/>
      </c>
      <c r="D194" s="64" t="str">
        <f>IFERROR(INDEX(_Datos!D:D,MATCH(187,_Datos!$I:$I,0)),"")</f>
        <v/>
      </c>
      <c r="E194" s="65" t="str">
        <f>IFERROR(INDEX(_Datos!E:E,MATCH(187,_Datos!$I:$I,0)),"")</f>
        <v/>
      </c>
      <c r="F194" s="63" t="str">
        <f>IFERROR(INDEX(_Datos!F:F,MATCH(187,_Datos!$I:$I,0)),"")</f>
        <v/>
      </c>
      <c r="G194" s="63" t="str">
        <f>IFERROR(INDEX(_Datos!G:G,MATCH(187,_Datos!$I:$I,0)),"")</f>
        <v/>
      </c>
      <c r="H194" s="66" t="str">
        <f>IFERROR(INDEX(_Datos!H:H,MATCH(187,_Datos!$I:$I,0)),"")</f>
        <v/>
      </c>
    </row>
    <row r="195" spans="1:8" x14ac:dyDescent="0.2">
      <c r="A195" s="67" t="str">
        <f>IFERROR(INDEX(_Datos!A:A,MATCH(188,_Datos!$I:$I,0)),"")</f>
        <v/>
      </c>
      <c r="B195" s="67" t="str">
        <f>IFERROR(INDEX(_Datos!B:B,MATCH(188,_Datos!$I:$I,0)),"")</f>
        <v/>
      </c>
      <c r="C195" s="67" t="str">
        <f>IFERROR(INDEX(_Datos!C:C,MATCH(188,_Datos!$I:$I,0)),"")</f>
        <v/>
      </c>
      <c r="D195" s="68" t="str">
        <f>IFERROR(INDEX(_Datos!D:D,MATCH(188,_Datos!$I:$I,0)),"")</f>
        <v/>
      </c>
      <c r="E195" s="69" t="str">
        <f>IFERROR(INDEX(_Datos!E:E,MATCH(188,_Datos!$I:$I,0)),"")</f>
        <v/>
      </c>
      <c r="F195" s="67" t="str">
        <f>IFERROR(INDEX(_Datos!F:F,MATCH(188,_Datos!$I:$I,0)),"")</f>
        <v/>
      </c>
      <c r="G195" s="67" t="str">
        <f>IFERROR(INDEX(_Datos!G:G,MATCH(188,_Datos!$I:$I,0)),"")</f>
        <v/>
      </c>
      <c r="H195" s="70" t="str">
        <f>IFERROR(INDEX(_Datos!H:H,MATCH(188,_Datos!$I:$I,0)),"")</f>
        <v/>
      </c>
    </row>
    <row r="196" spans="1:8" x14ac:dyDescent="0.2">
      <c r="A196" s="63" t="str">
        <f>IFERROR(INDEX(_Datos!A:A,MATCH(189,_Datos!$I:$I,0)),"")</f>
        <v/>
      </c>
      <c r="B196" s="63" t="str">
        <f>IFERROR(INDEX(_Datos!B:B,MATCH(189,_Datos!$I:$I,0)),"")</f>
        <v/>
      </c>
      <c r="C196" s="63" t="str">
        <f>IFERROR(INDEX(_Datos!C:C,MATCH(189,_Datos!$I:$I,0)),"")</f>
        <v/>
      </c>
      <c r="D196" s="64" t="str">
        <f>IFERROR(INDEX(_Datos!D:D,MATCH(189,_Datos!$I:$I,0)),"")</f>
        <v/>
      </c>
      <c r="E196" s="65" t="str">
        <f>IFERROR(INDEX(_Datos!E:E,MATCH(189,_Datos!$I:$I,0)),"")</f>
        <v/>
      </c>
      <c r="F196" s="63" t="str">
        <f>IFERROR(INDEX(_Datos!F:F,MATCH(189,_Datos!$I:$I,0)),"")</f>
        <v/>
      </c>
      <c r="G196" s="63" t="str">
        <f>IFERROR(INDEX(_Datos!G:G,MATCH(189,_Datos!$I:$I,0)),"")</f>
        <v/>
      </c>
      <c r="H196" s="66" t="str">
        <f>IFERROR(INDEX(_Datos!H:H,MATCH(189,_Datos!$I:$I,0)),"")</f>
        <v/>
      </c>
    </row>
    <row r="197" spans="1:8" x14ac:dyDescent="0.2">
      <c r="A197" s="67" t="str">
        <f>IFERROR(INDEX(_Datos!A:A,MATCH(190,_Datos!$I:$I,0)),"")</f>
        <v/>
      </c>
      <c r="B197" s="67" t="str">
        <f>IFERROR(INDEX(_Datos!B:B,MATCH(190,_Datos!$I:$I,0)),"")</f>
        <v/>
      </c>
      <c r="C197" s="67" t="str">
        <f>IFERROR(INDEX(_Datos!C:C,MATCH(190,_Datos!$I:$I,0)),"")</f>
        <v/>
      </c>
      <c r="D197" s="68" t="str">
        <f>IFERROR(INDEX(_Datos!D:D,MATCH(190,_Datos!$I:$I,0)),"")</f>
        <v/>
      </c>
      <c r="E197" s="69" t="str">
        <f>IFERROR(INDEX(_Datos!E:E,MATCH(190,_Datos!$I:$I,0)),"")</f>
        <v/>
      </c>
      <c r="F197" s="67" t="str">
        <f>IFERROR(INDEX(_Datos!F:F,MATCH(190,_Datos!$I:$I,0)),"")</f>
        <v/>
      </c>
      <c r="G197" s="67" t="str">
        <f>IFERROR(INDEX(_Datos!G:G,MATCH(190,_Datos!$I:$I,0)),"")</f>
        <v/>
      </c>
      <c r="H197" s="70" t="str">
        <f>IFERROR(INDEX(_Datos!H:H,MATCH(190,_Datos!$I:$I,0)),"")</f>
        <v/>
      </c>
    </row>
    <row r="198" spans="1:8" x14ac:dyDescent="0.2">
      <c r="A198" s="63" t="str">
        <f>IFERROR(INDEX(_Datos!A:A,MATCH(191,_Datos!$I:$I,0)),"")</f>
        <v/>
      </c>
      <c r="B198" s="63" t="str">
        <f>IFERROR(INDEX(_Datos!B:B,MATCH(191,_Datos!$I:$I,0)),"")</f>
        <v/>
      </c>
      <c r="C198" s="63" t="str">
        <f>IFERROR(INDEX(_Datos!C:C,MATCH(191,_Datos!$I:$I,0)),"")</f>
        <v/>
      </c>
      <c r="D198" s="64" t="str">
        <f>IFERROR(INDEX(_Datos!D:D,MATCH(191,_Datos!$I:$I,0)),"")</f>
        <v/>
      </c>
      <c r="E198" s="65" t="str">
        <f>IFERROR(INDEX(_Datos!E:E,MATCH(191,_Datos!$I:$I,0)),"")</f>
        <v/>
      </c>
      <c r="F198" s="63" t="str">
        <f>IFERROR(INDEX(_Datos!F:F,MATCH(191,_Datos!$I:$I,0)),"")</f>
        <v/>
      </c>
      <c r="G198" s="63" t="str">
        <f>IFERROR(INDEX(_Datos!G:G,MATCH(191,_Datos!$I:$I,0)),"")</f>
        <v/>
      </c>
      <c r="H198" s="66" t="str">
        <f>IFERROR(INDEX(_Datos!H:H,MATCH(191,_Datos!$I:$I,0)),"")</f>
        <v/>
      </c>
    </row>
    <row r="199" spans="1:8" x14ac:dyDescent="0.2">
      <c r="A199" s="67" t="str">
        <f>IFERROR(INDEX(_Datos!A:A,MATCH(192,_Datos!$I:$I,0)),"")</f>
        <v/>
      </c>
      <c r="B199" s="67" t="str">
        <f>IFERROR(INDEX(_Datos!B:B,MATCH(192,_Datos!$I:$I,0)),"")</f>
        <v/>
      </c>
      <c r="C199" s="67" t="str">
        <f>IFERROR(INDEX(_Datos!C:C,MATCH(192,_Datos!$I:$I,0)),"")</f>
        <v/>
      </c>
      <c r="D199" s="68" t="str">
        <f>IFERROR(INDEX(_Datos!D:D,MATCH(192,_Datos!$I:$I,0)),"")</f>
        <v/>
      </c>
      <c r="E199" s="69" t="str">
        <f>IFERROR(INDEX(_Datos!E:E,MATCH(192,_Datos!$I:$I,0)),"")</f>
        <v/>
      </c>
      <c r="F199" s="67" t="str">
        <f>IFERROR(INDEX(_Datos!F:F,MATCH(192,_Datos!$I:$I,0)),"")</f>
        <v/>
      </c>
      <c r="G199" s="67" t="str">
        <f>IFERROR(INDEX(_Datos!G:G,MATCH(192,_Datos!$I:$I,0)),"")</f>
        <v/>
      </c>
      <c r="H199" s="70" t="str">
        <f>IFERROR(INDEX(_Datos!H:H,MATCH(192,_Datos!$I:$I,0)),"")</f>
        <v/>
      </c>
    </row>
    <row r="200" spans="1:8" x14ac:dyDescent="0.2">
      <c r="A200" s="63" t="str">
        <f>IFERROR(INDEX(_Datos!A:A,MATCH(193,_Datos!$I:$I,0)),"")</f>
        <v/>
      </c>
      <c r="B200" s="63" t="str">
        <f>IFERROR(INDEX(_Datos!B:B,MATCH(193,_Datos!$I:$I,0)),"")</f>
        <v/>
      </c>
      <c r="C200" s="63" t="str">
        <f>IFERROR(INDEX(_Datos!C:C,MATCH(193,_Datos!$I:$I,0)),"")</f>
        <v/>
      </c>
      <c r="D200" s="64" t="str">
        <f>IFERROR(INDEX(_Datos!D:D,MATCH(193,_Datos!$I:$I,0)),"")</f>
        <v/>
      </c>
      <c r="E200" s="65" t="str">
        <f>IFERROR(INDEX(_Datos!E:E,MATCH(193,_Datos!$I:$I,0)),"")</f>
        <v/>
      </c>
      <c r="F200" s="63" t="str">
        <f>IFERROR(INDEX(_Datos!F:F,MATCH(193,_Datos!$I:$I,0)),"")</f>
        <v/>
      </c>
      <c r="G200" s="63" t="str">
        <f>IFERROR(INDEX(_Datos!G:G,MATCH(193,_Datos!$I:$I,0)),"")</f>
        <v/>
      </c>
      <c r="H200" s="66" t="str">
        <f>IFERROR(INDEX(_Datos!H:H,MATCH(193,_Datos!$I:$I,0)),"")</f>
        <v/>
      </c>
    </row>
    <row r="201" spans="1:8" x14ac:dyDescent="0.2">
      <c r="A201" s="67" t="str">
        <f>IFERROR(INDEX(_Datos!A:A,MATCH(194,_Datos!$I:$I,0)),"")</f>
        <v/>
      </c>
      <c r="B201" s="67" t="str">
        <f>IFERROR(INDEX(_Datos!B:B,MATCH(194,_Datos!$I:$I,0)),"")</f>
        <v/>
      </c>
      <c r="C201" s="67" t="str">
        <f>IFERROR(INDEX(_Datos!C:C,MATCH(194,_Datos!$I:$I,0)),"")</f>
        <v/>
      </c>
      <c r="D201" s="68" t="str">
        <f>IFERROR(INDEX(_Datos!D:D,MATCH(194,_Datos!$I:$I,0)),"")</f>
        <v/>
      </c>
      <c r="E201" s="69" t="str">
        <f>IFERROR(INDEX(_Datos!E:E,MATCH(194,_Datos!$I:$I,0)),"")</f>
        <v/>
      </c>
      <c r="F201" s="67" t="str">
        <f>IFERROR(INDEX(_Datos!F:F,MATCH(194,_Datos!$I:$I,0)),"")</f>
        <v/>
      </c>
      <c r="G201" s="67" t="str">
        <f>IFERROR(INDEX(_Datos!G:G,MATCH(194,_Datos!$I:$I,0)),"")</f>
        <v/>
      </c>
      <c r="H201" s="70" t="str">
        <f>IFERROR(INDEX(_Datos!H:H,MATCH(194,_Datos!$I:$I,0)),"")</f>
        <v/>
      </c>
    </row>
    <row r="202" spans="1:8" x14ac:dyDescent="0.2">
      <c r="A202" s="63" t="str">
        <f>IFERROR(INDEX(_Datos!A:A,MATCH(195,_Datos!$I:$I,0)),"")</f>
        <v/>
      </c>
      <c r="B202" s="63" t="str">
        <f>IFERROR(INDEX(_Datos!B:B,MATCH(195,_Datos!$I:$I,0)),"")</f>
        <v/>
      </c>
      <c r="C202" s="63" t="str">
        <f>IFERROR(INDEX(_Datos!C:C,MATCH(195,_Datos!$I:$I,0)),"")</f>
        <v/>
      </c>
      <c r="D202" s="64" t="str">
        <f>IFERROR(INDEX(_Datos!D:D,MATCH(195,_Datos!$I:$I,0)),"")</f>
        <v/>
      </c>
      <c r="E202" s="65" t="str">
        <f>IFERROR(INDEX(_Datos!E:E,MATCH(195,_Datos!$I:$I,0)),"")</f>
        <v/>
      </c>
      <c r="F202" s="63" t="str">
        <f>IFERROR(INDEX(_Datos!F:F,MATCH(195,_Datos!$I:$I,0)),"")</f>
        <v/>
      </c>
      <c r="G202" s="63" t="str">
        <f>IFERROR(INDEX(_Datos!G:G,MATCH(195,_Datos!$I:$I,0)),"")</f>
        <v/>
      </c>
      <c r="H202" s="66" t="str">
        <f>IFERROR(INDEX(_Datos!H:H,MATCH(195,_Datos!$I:$I,0)),"")</f>
        <v/>
      </c>
    </row>
    <row r="203" spans="1:8" x14ac:dyDescent="0.2">
      <c r="A203" s="67" t="str">
        <f>IFERROR(INDEX(_Datos!A:A,MATCH(196,_Datos!$I:$I,0)),"")</f>
        <v/>
      </c>
      <c r="B203" s="67" t="str">
        <f>IFERROR(INDEX(_Datos!B:B,MATCH(196,_Datos!$I:$I,0)),"")</f>
        <v/>
      </c>
      <c r="C203" s="67" t="str">
        <f>IFERROR(INDEX(_Datos!C:C,MATCH(196,_Datos!$I:$I,0)),"")</f>
        <v/>
      </c>
      <c r="D203" s="68" t="str">
        <f>IFERROR(INDEX(_Datos!D:D,MATCH(196,_Datos!$I:$I,0)),"")</f>
        <v/>
      </c>
      <c r="E203" s="69" t="str">
        <f>IFERROR(INDEX(_Datos!E:E,MATCH(196,_Datos!$I:$I,0)),"")</f>
        <v/>
      </c>
      <c r="F203" s="67" t="str">
        <f>IFERROR(INDEX(_Datos!F:F,MATCH(196,_Datos!$I:$I,0)),"")</f>
        <v/>
      </c>
      <c r="G203" s="67" t="str">
        <f>IFERROR(INDEX(_Datos!G:G,MATCH(196,_Datos!$I:$I,0)),"")</f>
        <v/>
      </c>
      <c r="H203" s="70" t="str">
        <f>IFERROR(INDEX(_Datos!H:H,MATCH(196,_Datos!$I:$I,0)),"")</f>
        <v/>
      </c>
    </row>
    <row r="204" spans="1:8" x14ac:dyDescent="0.2">
      <c r="A204" s="63" t="str">
        <f>IFERROR(INDEX(_Datos!A:A,MATCH(197,_Datos!$I:$I,0)),"")</f>
        <v/>
      </c>
      <c r="B204" s="63" t="str">
        <f>IFERROR(INDEX(_Datos!B:B,MATCH(197,_Datos!$I:$I,0)),"")</f>
        <v/>
      </c>
      <c r="C204" s="63" t="str">
        <f>IFERROR(INDEX(_Datos!C:C,MATCH(197,_Datos!$I:$I,0)),"")</f>
        <v/>
      </c>
      <c r="D204" s="64" t="str">
        <f>IFERROR(INDEX(_Datos!D:D,MATCH(197,_Datos!$I:$I,0)),"")</f>
        <v/>
      </c>
      <c r="E204" s="65" t="str">
        <f>IFERROR(INDEX(_Datos!E:E,MATCH(197,_Datos!$I:$I,0)),"")</f>
        <v/>
      </c>
      <c r="F204" s="63" t="str">
        <f>IFERROR(INDEX(_Datos!F:F,MATCH(197,_Datos!$I:$I,0)),"")</f>
        <v/>
      </c>
      <c r="G204" s="63" t="str">
        <f>IFERROR(INDEX(_Datos!G:G,MATCH(197,_Datos!$I:$I,0)),"")</f>
        <v/>
      </c>
      <c r="H204" s="66" t="str">
        <f>IFERROR(INDEX(_Datos!H:H,MATCH(197,_Datos!$I:$I,0)),"")</f>
        <v/>
      </c>
    </row>
    <row r="205" spans="1:8" x14ac:dyDescent="0.2">
      <c r="A205" s="67" t="str">
        <f>IFERROR(INDEX(_Datos!A:A,MATCH(198,_Datos!$I:$I,0)),"")</f>
        <v/>
      </c>
      <c r="B205" s="67" t="str">
        <f>IFERROR(INDEX(_Datos!B:B,MATCH(198,_Datos!$I:$I,0)),"")</f>
        <v/>
      </c>
      <c r="C205" s="67" t="str">
        <f>IFERROR(INDEX(_Datos!C:C,MATCH(198,_Datos!$I:$I,0)),"")</f>
        <v/>
      </c>
      <c r="D205" s="68" t="str">
        <f>IFERROR(INDEX(_Datos!D:D,MATCH(198,_Datos!$I:$I,0)),"")</f>
        <v/>
      </c>
      <c r="E205" s="69" t="str">
        <f>IFERROR(INDEX(_Datos!E:E,MATCH(198,_Datos!$I:$I,0)),"")</f>
        <v/>
      </c>
      <c r="F205" s="67" t="str">
        <f>IFERROR(INDEX(_Datos!F:F,MATCH(198,_Datos!$I:$I,0)),"")</f>
        <v/>
      </c>
      <c r="G205" s="67" t="str">
        <f>IFERROR(INDEX(_Datos!G:G,MATCH(198,_Datos!$I:$I,0)),"")</f>
        <v/>
      </c>
      <c r="H205" s="70" t="str">
        <f>IFERROR(INDEX(_Datos!H:H,MATCH(198,_Datos!$I:$I,0)),"")</f>
        <v/>
      </c>
    </row>
    <row r="206" spans="1:8" x14ac:dyDescent="0.2">
      <c r="A206" s="63" t="str">
        <f>IFERROR(INDEX(_Datos!A:A,MATCH(199,_Datos!$I:$I,0)),"")</f>
        <v/>
      </c>
      <c r="B206" s="63" t="str">
        <f>IFERROR(INDEX(_Datos!B:B,MATCH(199,_Datos!$I:$I,0)),"")</f>
        <v/>
      </c>
      <c r="C206" s="63" t="str">
        <f>IFERROR(INDEX(_Datos!C:C,MATCH(199,_Datos!$I:$I,0)),"")</f>
        <v/>
      </c>
      <c r="D206" s="64" t="str">
        <f>IFERROR(INDEX(_Datos!D:D,MATCH(199,_Datos!$I:$I,0)),"")</f>
        <v/>
      </c>
      <c r="E206" s="65" t="str">
        <f>IFERROR(INDEX(_Datos!E:E,MATCH(199,_Datos!$I:$I,0)),"")</f>
        <v/>
      </c>
      <c r="F206" s="63" t="str">
        <f>IFERROR(INDEX(_Datos!F:F,MATCH(199,_Datos!$I:$I,0)),"")</f>
        <v/>
      </c>
      <c r="G206" s="63" t="str">
        <f>IFERROR(INDEX(_Datos!G:G,MATCH(199,_Datos!$I:$I,0)),"")</f>
        <v/>
      </c>
      <c r="H206" s="66" t="str">
        <f>IFERROR(INDEX(_Datos!H:H,MATCH(199,_Datos!$I:$I,0)),"")</f>
        <v/>
      </c>
    </row>
    <row r="207" spans="1:8" x14ac:dyDescent="0.2">
      <c r="A207" s="67" t="str">
        <f>IFERROR(INDEX(_Datos!A:A,MATCH(200,_Datos!$I:$I,0)),"")</f>
        <v/>
      </c>
      <c r="B207" s="67" t="str">
        <f>IFERROR(INDEX(_Datos!B:B,MATCH(200,_Datos!$I:$I,0)),"")</f>
        <v/>
      </c>
      <c r="C207" s="67" t="str">
        <f>IFERROR(INDEX(_Datos!C:C,MATCH(200,_Datos!$I:$I,0)),"")</f>
        <v/>
      </c>
      <c r="D207" s="68" t="str">
        <f>IFERROR(INDEX(_Datos!D:D,MATCH(200,_Datos!$I:$I,0)),"")</f>
        <v/>
      </c>
      <c r="E207" s="69" t="str">
        <f>IFERROR(INDEX(_Datos!E:E,MATCH(200,_Datos!$I:$I,0)),"")</f>
        <v/>
      </c>
      <c r="F207" s="67" t="str">
        <f>IFERROR(INDEX(_Datos!F:F,MATCH(200,_Datos!$I:$I,0)),"")</f>
        <v/>
      </c>
      <c r="G207" s="67" t="str">
        <f>IFERROR(INDEX(_Datos!G:G,MATCH(200,_Datos!$I:$I,0)),"")</f>
        <v/>
      </c>
      <c r="H207" s="70" t="str">
        <f>IFERROR(INDEX(_Datos!H:H,MATCH(200,_Datos!$I:$I,0)),"")</f>
        <v/>
      </c>
    </row>
    <row r="208" spans="1:8" x14ac:dyDescent="0.2">
      <c r="A208" s="63" t="str">
        <f>IFERROR(INDEX(_Datos!A:A,MATCH(201,_Datos!$I:$I,0)),"")</f>
        <v/>
      </c>
      <c r="B208" s="63" t="str">
        <f>IFERROR(INDEX(_Datos!B:B,MATCH(201,_Datos!$I:$I,0)),"")</f>
        <v/>
      </c>
      <c r="C208" s="63" t="str">
        <f>IFERROR(INDEX(_Datos!C:C,MATCH(201,_Datos!$I:$I,0)),"")</f>
        <v/>
      </c>
      <c r="D208" s="64" t="str">
        <f>IFERROR(INDEX(_Datos!D:D,MATCH(201,_Datos!$I:$I,0)),"")</f>
        <v/>
      </c>
      <c r="E208" s="65" t="str">
        <f>IFERROR(INDEX(_Datos!E:E,MATCH(201,_Datos!$I:$I,0)),"")</f>
        <v/>
      </c>
      <c r="F208" s="63" t="str">
        <f>IFERROR(INDEX(_Datos!F:F,MATCH(201,_Datos!$I:$I,0)),"")</f>
        <v/>
      </c>
      <c r="G208" s="63" t="str">
        <f>IFERROR(INDEX(_Datos!G:G,MATCH(201,_Datos!$I:$I,0)),"")</f>
        <v/>
      </c>
      <c r="H208" s="66" t="str">
        <f>IFERROR(INDEX(_Datos!H:H,MATCH(201,_Datos!$I:$I,0)),"")</f>
        <v/>
      </c>
    </row>
    <row r="209" spans="1:8" x14ac:dyDescent="0.2">
      <c r="A209" s="67" t="str">
        <f>IFERROR(INDEX(_Datos!A:A,MATCH(202,_Datos!$I:$I,0)),"")</f>
        <v/>
      </c>
      <c r="B209" s="67" t="str">
        <f>IFERROR(INDEX(_Datos!B:B,MATCH(202,_Datos!$I:$I,0)),"")</f>
        <v/>
      </c>
      <c r="C209" s="67" t="str">
        <f>IFERROR(INDEX(_Datos!C:C,MATCH(202,_Datos!$I:$I,0)),"")</f>
        <v/>
      </c>
      <c r="D209" s="68" t="str">
        <f>IFERROR(INDEX(_Datos!D:D,MATCH(202,_Datos!$I:$I,0)),"")</f>
        <v/>
      </c>
      <c r="E209" s="69" t="str">
        <f>IFERROR(INDEX(_Datos!E:E,MATCH(202,_Datos!$I:$I,0)),"")</f>
        <v/>
      </c>
      <c r="F209" s="67" t="str">
        <f>IFERROR(INDEX(_Datos!F:F,MATCH(202,_Datos!$I:$I,0)),"")</f>
        <v/>
      </c>
      <c r="G209" s="67" t="str">
        <f>IFERROR(INDEX(_Datos!G:G,MATCH(202,_Datos!$I:$I,0)),"")</f>
        <v/>
      </c>
      <c r="H209" s="70" t="str">
        <f>IFERROR(INDEX(_Datos!H:H,MATCH(202,_Datos!$I:$I,0)),"")</f>
        <v/>
      </c>
    </row>
    <row r="210" spans="1:8" x14ac:dyDescent="0.2">
      <c r="A210" s="63" t="str">
        <f>IFERROR(INDEX(_Datos!A:A,MATCH(203,_Datos!$I:$I,0)),"")</f>
        <v/>
      </c>
      <c r="B210" s="63" t="str">
        <f>IFERROR(INDEX(_Datos!B:B,MATCH(203,_Datos!$I:$I,0)),"")</f>
        <v/>
      </c>
      <c r="C210" s="63" t="str">
        <f>IFERROR(INDEX(_Datos!C:C,MATCH(203,_Datos!$I:$I,0)),"")</f>
        <v/>
      </c>
      <c r="D210" s="64" t="str">
        <f>IFERROR(INDEX(_Datos!D:D,MATCH(203,_Datos!$I:$I,0)),"")</f>
        <v/>
      </c>
      <c r="E210" s="65" t="str">
        <f>IFERROR(INDEX(_Datos!E:E,MATCH(203,_Datos!$I:$I,0)),"")</f>
        <v/>
      </c>
      <c r="F210" s="63" t="str">
        <f>IFERROR(INDEX(_Datos!F:F,MATCH(203,_Datos!$I:$I,0)),"")</f>
        <v/>
      </c>
      <c r="G210" s="63" t="str">
        <f>IFERROR(INDEX(_Datos!G:G,MATCH(203,_Datos!$I:$I,0)),"")</f>
        <v/>
      </c>
      <c r="H210" s="66" t="str">
        <f>IFERROR(INDEX(_Datos!H:H,MATCH(203,_Datos!$I:$I,0)),"")</f>
        <v/>
      </c>
    </row>
    <row r="211" spans="1:8" x14ac:dyDescent="0.2">
      <c r="A211" s="67" t="str">
        <f>IFERROR(INDEX(_Datos!A:A,MATCH(204,_Datos!$I:$I,0)),"")</f>
        <v/>
      </c>
      <c r="B211" s="67" t="str">
        <f>IFERROR(INDEX(_Datos!B:B,MATCH(204,_Datos!$I:$I,0)),"")</f>
        <v/>
      </c>
      <c r="C211" s="67" t="str">
        <f>IFERROR(INDEX(_Datos!C:C,MATCH(204,_Datos!$I:$I,0)),"")</f>
        <v/>
      </c>
      <c r="D211" s="68" t="str">
        <f>IFERROR(INDEX(_Datos!D:D,MATCH(204,_Datos!$I:$I,0)),"")</f>
        <v/>
      </c>
      <c r="E211" s="69" t="str">
        <f>IFERROR(INDEX(_Datos!E:E,MATCH(204,_Datos!$I:$I,0)),"")</f>
        <v/>
      </c>
      <c r="F211" s="67" t="str">
        <f>IFERROR(INDEX(_Datos!F:F,MATCH(204,_Datos!$I:$I,0)),"")</f>
        <v/>
      </c>
      <c r="G211" s="67" t="str">
        <f>IFERROR(INDEX(_Datos!G:G,MATCH(204,_Datos!$I:$I,0)),"")</f>
        <v/>
      </c>
      <c r="H211" s="70" t="str">
        <f>IFERROR(INDEX(_Datos!H:H,MATCH(204,_Datos!$I:$I,0)),"")</f>
        <v/>
      </c>
    </row>
    <row r="212" spans="1:8" x14ac:dyDescent="0.2">
      <c r="A212" s="63" t="str">
        <f>IFERROR(INDEX(_Datos!A:A,MATCH(205,_Datos!$I:$I,0)),"")</f>
        <v/>
      </c>
      <c r="B212" s="63" t="str">
        <f>IFERROR(INDEX(_Datos!B:B,MATCH(205,_Datos!$I:$I,0)),"")</f>
        <v/>
      </c>
      <c r="C212" s="63" t="str">
        <f>IFERROR(INDEX(_Datos!C:C,MATCH(205,_Datos!$I:$I,0)),"")</f>
        <v/>
      </c>
      <c r="D212" s="64" t="str">
        <f>IFERROR(INDEX(_Datos!D:D,MATCH(205,_Datos!$I:$I,0)),"")</f>
        <v/>
      </c>
      <c r="E212" s="65" t="str">
        <f>IFERROR(INDEX(_Datos!E:E,MATCH(205,_Datos!$I:$I,0)),"")</f>
        <v/>
      </c>
      <c r="F212" s="63" t="str">
        <f>IFERROR(INDEX(_Datos!F:F,MATCH(205,_Datos!$I:$I,0)),"")</f>
        <v/>
      </c>
      <c r="G212" s="63" t="str">
        <f>IFERROR(INDEX(_Datos!G:G,MATCH(205,_Datos!$I:$I,0)),"")</f>
        <v/>
      </c>
      <c r="H212" s="66" t="str">
        <f>IFERROR(INDEX(_Datos!H:H,MATCH(205,_Datos!$I:$I,0)),"")</f>
        <v/>
      </c>
    </row>
    <row r="213" spans="1:8" x14ac:dyDescent="0.2">
      <c r="A213" s="67" t="str">
        <f>IFERROR(INDEX(_Datos!A:A,MATCH(206,_Datos!$I:$I,0)),"")</f>
        <v/>
      </c>
      <c r="B213" s="67" t="str">
        <f>IFERROR(INDEX(_Datos!B:B,MATCH(206,_Datos!$I:$I,0)),"")</f>
        <v/>
      </c>
      <c r="C213" s="67" t="str">
        <f>IFERROR(INDEX(_Datos!C:C,MATCH(206,_Datos!$I:$I,0)),"")</f>
        <v/>
      </c>
      <c r="D213" s="68" t="str">
        <f>IFERROR(INDEX(_Datos!D:D,MATCH(206,_Datos!$I:$I,0)),"")</f>
        <v/>
      </c>
      <c r="E213" s="69" t="str">
        <f>IFERROR(INDEX(_Datos!E:E,MATCH(206,_Datos!$I:$I,0)),"")</f>
        <v/>
      </c>
      <c r="F213" s="67" t="str">
        <f>IFERROR(INDEX(_Datos!F:F,MATCH(206,_Datos!$I:$I,0)),"")</f>
        <v/>
      </c>
      <c r="G213" s="67" t="str">
        <f>IFERROR(INDEX(_Datos!G:G,MATCH(206,_Datos!$I:$I,0)),"")</f>
        <v/>
      </c>
      <c r="H213" s="70" t="str">
        <f>IFERROR(INDEX(_Datos!H:H,MATCH(206,_Datos!$I:$I,0)),"")</f>
        <v/>
      </c>
    </row>
    <row r="214" spans="1:8" x14ac:dyDescent="0.2">
      <c r="A214" s="63" t="str">
        <f>IFERROR(INDEX(_Datos!A:A,MATCH(207,_Datos!$I:$I,0)),"")</f>
        <v/>
      </c>
      <c r="B214" s="63" t="str">
        <f>IFERROR(INDEX(_Datos!B:B,MATCH(207,_Datos!$I:$I,0)),"")</f>
        <v/>
      </c>
      <c r="C214" s="63" t="str">
        <f>IFERROR(INDEX(_Datos!C:C,MATCH(207,_Datos!$I:$I,0)),"")</f>
        <v/>
      </c>
      <c r="D214" s="64" t="str">
        <f>IFERROR(INDEX(_Datos!D:D,MATCH(207,_Datos!$I:$I,0)),"")</f>
        <v/>
      </c>
      <c r="E214" s="65" t="str">
        <f>IFERROR(INDEX(_Datos!E:E,MATCH(207,_Datos!$I:$I,0)),"")</f>
        <v/>
      </c>
      <c r="F214" s="63" t="str">
        <f>IFERROR(INDEX(_Datos!F:F,MATCH(207,_Datos!$I:$I,0)),"")</f>
        <v/>
      </c>
      <c r="G214" s="63" t="str">
        <f>IFERROR(INDEX(_Datos!G:G,MATCH(207,_Datos!$I:$I,0)),"")</f>
        <v/>
      </c>
      <c r="H214" s="66" t="str">
        <f>IFERROR(INDEX(_Datos!H:H,MATCH(207,_Datos!$I:$I,0)),"")</f>
        <v/>
      </c>
    </row>
    <row r="215" spans="1:8" x14ac:dyDescent="0.2">
      <c r="A215" s="67" t="str">
        <f>IFERROR(INDEX(_Datos!A:A,MATCH(208,_Datos!$I:$I,0)),"")</f>
        <v/>
      </c>
      <c r="B215" s="67" t="str">
        <f>IFERROR(INDEX(_Datos!B:B,MATCH(208,_Datos!$I:$I,0)),"")</f>
        <v/>
      </c>
      <c r="C215" s="67" t="str">
        <f>IFERROR(INDEX(_Datos!C:C,MATCH(208,_Datos!$I:$I,0)),"")</f>
        <v/>
      </c>
      <c r="D215" s="68" t="str">
        <f>IFERROR(INDEX(_Datos!D:D,MATCH(208,_Datos!$I:$I,0)),"")</f>
        <v/>
      </c>
      <c r="E215" s="69" t="str">
        <f>IFERROR(INDEX(_Datos!E:E,MATCH(208,_Datos!$I:$I,0)),"")</f>
        <v/>
      </c>
      <c r="F215" s="67" t="str">
        <f>IFERROR(INDEX(_Datos!F:F,MATCH(208,_Datos!$I:$I,0)),"")</f>
        <v/>
      </c>
      <c r="G215" s="67" t="str">
        <f>IFERROR(INDEX(_Datos!G:G,MATCH(208,_Datos!$I:$I,0)),"")</f>
        <v/>
      </c>
      <c r="H215" s="70" t="str">
        <f>IFERROR(INDEX(_Datos!H:H,MATCH(208,_Datos!$I:$I,0)),"")</f>
        <v/>
      </c>
    </row>
    <row r="216" spans="1:8" x14ac:dyDescent="0.2">
      <c r="A216" s="63" t="str">
        <f>IFERROR(INDEX(_Datos!A:A,MATCH(209,_Datos!$I:$I,0)),"")</f>
        <v/>
      </c>
      <c r="B216" s="63" t="str">
        <f>IFERROR(INDEX(_Datos!B:B,MATCH(209,_Datos!$I:$I,0)),"")</f>
        <v/>
      </c>
      <c r="C216" s="63" t="str">
        <f>IFERROR(INDEX(_Datos!C:C,MATCH(209,_Datos!$I:$I,0)),"")</f>
        <v/>
      </c>
      <c r="D216" s="64" t="str">
        <f>IFERROR(INDEX(_Datos!D:D,MATCH(209,_Datos!$I:$I,0)),"")</f>
        <v/>
      </c>
      <c r="E216" s="65" t="str">
        <f>IFERROR(INDEX(_Datos!E:E,MATCH(209,_Datos!$I:$I,0)),"")</f>
        <v/>
      </c>
      <c r="F216" s="63" t="str">
        <f>IFERROR(INDEX(_Datos!F:F,MATCH(209,_Datos!$I:$I,0)),"")</f>
        <v/>
      </c>
      <c r="G216" s="63" t="str">
        <f>IFERROR(INDEX(_Datos!G:G,MATCH(209,_Datos!$I:$I,0)),"")</f>
        <v/>
      </c>
      <c r="H216" s="66" t="str">
        <f>IFERROR(INDEX(_Datos!H:H,MATCH(209,_Datos!$I:$I,0)),"")</f>
        <v/>
      </c>
    </row>
    <row r="217" spans="1:8" x14ac:dyDescent="0.2">
      <c r="A217" s="67" t="str">
        <f>IFERROR(INDEX(_Datos!A:A,MATCH(210,_Datos!$I:$I,0)),"")</f>
        <v/>
      </c>
      <c r="B217" s="67" t="str">
        <f>IFERROR(INDEX(_Datos!B:B,MATCH(210,_Datos!$I:$I,0)),"")</f>
        <v/>
      </c>
      <c r="C217" s="67" t="str">
        <f>IFERROR(INDEX(_Datos!C:C,MATCH(210,_Datos!$I:$I,0)),"")</f>
        <v/>
      </c>
      <c r="D217" s="68" t="str">
        <f>IFERROR(INDEX(_Datos!D:D,MATCH(210,_Datos!$I:$I,0)),"")</f>
        <v/>
      </c>
      <c r="E217" s="69" t="str">
        <f>IFERROR(INDEX(_Datos!E:E,MATCH(210,_Datos!$I:$I,0)),"")</f>
        <v/>
      </c>
      <c r="F217" s="67" t="str">
        <f>IFERROR(INDEX(_Datos!F:F,MATCH(210,_Datos!$I:$I,0)),"")</f>
        <v/>
      </c>
      <c r="G217" s="67" t="str">
        <f>IFERROR(INDEX(_Datos!G:G,MATCH(210,_Datos!$I:$I,0)),"")</f>
        <v/>
      </c>
      <c r="H217" s="70" t="str">
        <f>IFERROR(INDEX(_Datos!H:H,MATCH(210,_Datos!$I:$I,0)),"")</f>
        <v/>
      </c>
    </row>
    <row r="218" spans="1:8" x14ac:dyDescent="0.2">
      <c r="A218" s="63" t="str">
        <f>IFERROR(INDEX(_Datos!A:A,MATCH(211,_Datos!$I:$I,0)),"")</f>
        <v/>
      </c>
      <c r="B218" s="63" t="str">
        <f>IFERROR(INDEX(_Datos!B:B,MATCH(211,_Datos!$I:$I,0)),"")</f>
        <v/>
      </c>
      <c r="C218" s="63" t="str">
        <f>IFERROR(INDEX(_Datos!C:C,MATCH(211,_Datos!$I:$I,0)),"")</f>
        <v/>
      </c>
      <c r="D218" s="64" t="str">
        <f>IFERROR(INDEX(_Datos!D:D,MATCH(211,_Datos!$I:$I,0)),"")</f>
        <v/>
      </c>
      <c r="E218" s="65" t="str">
        <f>IFERROR(INDEX(_Datos!E:E,MATCH(211,_Datos!$I:$I,0)),"")</f>
        <v/>
      </c>
      <c r="F218" s="63" t="str">
        <f>IFERROR(INDEX(_Datos!F:F,MATCH(211,_Datos!$I:$I,0)),"")</f>
        <v/>
      </c>
      <c r="G218" s="63" t="str">
        <f>IFERROR(INDEX(_Datos!G:G,MATCH(211,_Datos!$I:$I,0)),"")</f>
        <v/>
      </c>
      <c r="H218" s="66" t="str">
        <f>IFERROR(INDEX(_Datos!H:H,MATCH(211,_Datos!$I:$I,0)),"")</f>
        <v/>
      </c>
    </row>
    <row r="219" spans="1:8" x14ac:dyDescent="0.2">
      <c r="A219" s="67" t="str">
        <f>IFERROR(INDEX(_Datos!A:A,MATCH(212,_Datos!$I:$I,0)),"")</f>
        <v/>
      </c>
      <c r="B219" s="67" t="str">
        <f>IFERROR(INDEX(_Datos!B:B,MATCH(212,_Datos!$I:$I,0)),"")</f>
        <v/>
      </c>
      <c r="C219" s="67" t="str">
        <f>IFERROR(INDEX(_Datos!C:C,MATCH(212,_Datos!$I:$I,0)),"")</f>
        <v/>
      </c>
      <c r="D219" s="68" t="str">
        <f>IFERROR(INDEX(_Datos!D:D,MATCH(212,_Datos!$I:$I,0)),"")</f>
        <v/>
      </c>
      <c r="E219" s="69" t="str">
        <f>IFERROR(INDEX(_Datos!E:E,MATCH(212,_Datos!$I:$I,0)),"")</f>
        <v/>
      </c>
      <c r="F219" s="67" t="str">
        <f>IFERROR(INDEX(_Datos!F:F,MATCH(212,_Datos!$I:$I,0)),"")</f>
        <v/>
      </c>
      <c r="G219" s="67" t="str">
        <f>IFERROR(INDEX(_Datos!G:G,MATCH(212,_Datos!$I:$I,0)),"")</f>
        <v/>
      </c>
      <c r="H219" s="70" t="str">
        <f>IFERROR(INDEX(_Datos!H:H,MATCH(212,_Datos!$I:$I,0)),"")</f>
        <v/>
      </c>
    </row>
    <row r="220" spans="1:8" x14ac:dyDescent="0.2">
      <c r="A220" s="63" t="str">
        <f>IFERROR(INDEX(_Datos!A:A,MATCH(213,_Datos!$I:$I,0)),"")</f>
        <v/>
      </c>
      <c r="B220" s="63" t="str">
        <f>IFERROR(INDEX(_Datos!B:B,MATCH(213,_Datos!$I:$I,0)),"")</f>
        <v/>
      </c>
      <c r="C220" s="63" t="str">
        <f>IFERROR(INDEX(_Datos!C:C,MATCH(213,_Datos!$I:$I,0)),"")</f>
        <v/>
      </c>
      <c r="D220" s="64" t="str">
        <f>IFERROR(INDEX(_Datos!D:D,MATCH(213,_Datos!$I:$I,0)),"")</f>
        <v/>
      </c>
      <c r="E220" s="65" t="str">
        <f>IFERROR(INDEX(_Datos!E:E,MATCH(213,_Datos!$I:$I,0)),"")</f>
        <v/>
      </c>
      <c r="F220" s="63" t="str">
        <f>IFERROR(INDEX(_Datos!F:F,MATCH(213,_Datos!$I:$I,0)),"")</f>
        <v/>
      </c>
      <c r="G220" s="63" t="str">
        <f>IFERROR(INDEX(_Datos!G:G,MATCH(213,_Datos!$I:$I,0)),"")</f>
        <v/>
      </c>
      <c r="H220" s="66" t="str">
        <f>IFERROR(INDEX(_Datos!H:H,MATCH(213,_Datos!$I:$I,0)),"")</f>
        <v/>
      </c>
    </row>
    <row r="221" spans="1:8" x14ac:dyDescent="0.2">
      <c r="A221" s="67" t="str">
        <f>IFERROR(INDEX(_Datos!A:A,MATCH(214,_Datos!$I:$I,0)),"")</f>
        <v/>
      </c>
      <c r="B221" s="67" t="str">
        <f>IFERROR(INDEX(_Datos!B:B,MATCH(214,_Datos!$I:$I,0)),"")</f>
        <v/>
      </c>
      <c r="C221" s="67" t="str">
        <f>IFERROR(INDEX(_Datos!C:C,MATCH(214,_Datos!$I:$I,0)),"")</f>
        <v/>
      </c>
      <c r="D221" s="68" t="str">
        <f>IFERROR(INDEX(_Datos!D:D,MATCH(214,_Datos!$I:$I,0)),"")</f>
        <v/>
      </c>
      <c r="E221" s="69" t="str">
        <f>IFERROR(INDEX(_Datos!E:E,MATCH(214,_Datos!$I:$I,0)),"")</f>
        <v/>
      </c>
      <c r="F221" s="67" t="str">
        <f>IFERROR(INDEX(_Datos!F:F,MATCH(214,_Datos!$I:$I,0)),"")</f>
        <v/>
      </c>
      <c r="G221" s="67" t="str">
        <f>IFERROR(INDEX(_Datos!G:G,MATCH(214,_Datos!$I:$I,0)),"")</f>
        <v/>
      </c>
      <c r="H221" s="70" t="str">
        <f>IFERROR(INDEX(_Datos!H:H,MATCH(214,_Datos!$I:$I,0)),"")</f>
        <v/>
      </c>
    </row>
    <row r="222" spans="1:8" x14ac:dyDescent="0.2">
      <c r="A222" s="63" t="str">
        <f>IFERROR(INDEX(_Datos!A:A,MATCH(215,_Datos!$I:$I,0)),"")</f>
        <v/>
      </c>
      <c r="B222" s="63" t="str">
        <f>IFERROR(INDEX(_Datos!B:B,MATCH(215,_Datos!$I:$I,0)),"")</f>
        <v/>
      </c>
      <c r="C222" s="63" t="str">
        <f>IFERROR(INDEX(_Datos!C:C,MATCH(215,_Datos!$I:$I,0)),"")</f>
        <v/>
      </c>
      <c r="D222" s="64" t="str">
        <f>IFERROR(INDEX(_Datos!D:D,MATCH(215,_Datos!$I:$I,0)),"")</f>
        <v/>
      </c>
      <c r="E222" s="65" t="str">
        <f>IFERROR(INDEX(_Datos!E:E,MATCH(215,_Datos!$I:$I,0)),"")</f>
        <v/>
      </c>
      <c r="F222" s="63" t="str">
        <f>IFERROR(INDEX(_Datos!F:F,MATCH(215,_Datos!$I:$I,0)),"")</f>
        <v/>
      </c>
      <c r="G222" s="63" t="str">
        <f>IFERROR(INDEX(_Datos!G:G,MATCH(215,_Datos!$I:$I,0)),"")</f>
        <v/>
      </c>
      <c r="H222" s="66" t="str">
        <f>IFERROR(INDEX(_Datos!H:H,MATCH(215,_Datos!$I:$I,0)),"")</f>
        <v/>
      </c>
    </row>
    <row r="223" spans="1:8" x14ac:dyDescent="0.2">
      <c r="A223" s="67" t="str">
        <f>IFERROR(INDEX(_Datos!A:A,MATCH(216,_Datos!$I:$I,0)),"")</f>
        <v/>
      </c>
      <c r="B223" s="67" t="str">
        <f>IFERROR(INDEX(_Datos!B:B,MATCH(216,_Datos!$I:$I,0)),"")</f>
        <v/>
      </c>
      <c r="C223" s="67" t="str">
        <f>IFERROR(INDEX(_Datos!C:C,MATCH(216,_Datos!$I:$I,0)),"")</f>
        <v/>
      </c>
      <c r="D223" s="68" t="str">
        <f>IFERROR(INDEX(_Datos!D:D,MATCH(216,_Datos!$I:$I,0)),"")</f>
        <v/>
      </c>
      <c r="E223" s="69" t="str">
        <f>IFERROR(INDEX(_Datos!E:E,MATCH(216,_Datos!$I:$I,0)),"")</f>
        <v/>
      </c>
      <c r="F223" s="67" t="str">
        <f>IFERROR(INDEX(_Datos!F:F,MATCH(216,_Datos!$I:$I,0)),"")</f>
        <v/>
      </c>
      <c r="G223" s="67" t="str">
        <f>IFERROR(INDEX(_Datos!G:G,MATCH(216,_Datos!$I:$I,0)),"")</f>
        <v/>
      </c>
      <c r="H223" s="70" t="str">
        <f>IFERROR(INDEX(_Datos!H:H,MATCH(216,_Datos!$I:$I,0)),"")</f>
        <v/>
      </c>
    </row>
    <row r="224" spans="1:8" x14ac:dyDescent="0.2">
      <c r="A224" s="63" t="str">
        <f>IFERROR(INDEX(_Datos!A:A,MATCH(217,_Datos!$I:$I,0)),"")</f>
        <v/>
      </c>
      <c r="B224" s="63" t="str">
        <f>IFERROR(INDEX(_Datos!B:B,MATCH(217,_Datos!$I:$I,0)),"")</f>
        <v/>
      </c>
      <c r="C224" s="63" t="str">
        <f>IFERROR(INDEX(_Datos!C:C,MATCH(217,_Datos!$I:$I,0)),"")</f>
        <v/>
      </c>
      <c r="D224" s="64" t="str">
        <f>IFERROR(INDEX(_Datos!D:D,MATCH(217,_Datos!$I:$I,0)),"")</f>
        <v/>
      </c>
      <c r="E224" s="65" t="str">
        <f>IFERROR(INDEX(_Datos!E:E,MATCH(217,_Datos!$I:$I,0)),"")</f>
        <v/>
      </c>
      <c r="F224" s="63" t="str">
        <f>IFERROR(INDEX(_Datos!F:F,MATCH(217,_Datos!$I:$I,0)),"")</f>
        <v/>
      </c>
      <c r="G224" s="63" t="str">
        <f>IFERROR(INDEX(_Datos!G:G,MATCH(217,_Datos!$I:$I,0)),"")</f>
        <v/>
      </c>
      <c r="H224" s="66" t="str">
        <f>IFERROR(INDEX(_Datos!H:H,MATCH(217,_Datos!$I:$I,0)),"")</f>
        <v/>
      </c>
    </row>
    <row r="225" spans="1:8" x14ac:dyDescent="0.2">
      <c r="A225" s="67" t="str">
        <f>IFERROR(INDEX(_Datos!A:A,MATCH(218,_Datos!$I:$I,0)),"")</f>
        <v/>
      </c>
      <c r="B225" s="67" t="str">
        <f>IFERROR(INDEX(_Datos!B:B,MATCH(218,_Datos!$I:$I,0)),"")</f>
        <v/>
      </c>
      <c r="C225" s="67" t="str">
        <f>IFERROR(INDEX(_Datos!C:C,MATCH(218,_Datos!$I:$I,0)),"")</f>
        <v/>
      </c>
      <c r="D225" s="68" t="str">
        <f>IFERROR(INDEX(_Datos!D:D,MATCH(218,_Datos!$I:$I,0)),"")</f>
        <v/>
      </c>
      <c r="E225" s="69" t="str">
        <f>IFERROR(INDEX(_Datos!E:E,MATCH(218,_Datos!$I:$I,0)),"")</f>
        <v/>
      </c>
      <c r="F225" s="67" t="str">
        <f>IFERROR(INDEX(_Datos!F:F,MATCH(218,_Datos!$I:$I,0)),"")</f>
        <v/>
      </c>
      <c r="G225" s="67" t="str">
        <f>IFERROR(INDEX(_Datos!G:G,MATCH(218,_Datos!$I:$I,0)),"")</f>
        <v/>
      </c>
      <c r="H225" s="70" t="str">
        <f>IFERROR(INDEX(_Datos!H:H,MATCH(218,_Datos!$I:$I,0)),"")</f>
        <v/>
      </c>
    </row>
    <row r="226" spans="1:8" x14ac:dyDescent="0.2">
      <c r="A226" s="63" t="str">
        <f>IFERROR(INDEX(_Datos!A:A,MATCH(219,_Datos!$I:$I,0)),"")</f>
        <v/>
      </c>
      <c r="B226" s="63" t="str">
        <f>IFERROR(INDEX(_Datos!B:B,MATCH(219,_Datos!$I:$I,0)),"")</f>
        <v/>
      </c>
      <c r="C226" s="63" t="str">
        <f>IFERROR(INDEX(_Datos!C:C,MATCH(219,_Datos!$I:$I,0)),"")</f>
        <v/>
      </c>
      <c r="D226" s="64" t="str">
        <f>IFERROR(INDEX(_Datos!D:D,MATCH(219,_Datos!$I:$I,0)),"")</f>
        <v/>
      </c>
      <c r="E226" s="65" t="str">
        <f>IFERROR(INDEX(_Datos!E:E,MATCH(219,_Datos!$I:$I,0)),"")</f>
        <v/>
      </c>
      <c r="F226" s="63" t="str">
        <f>IFERROR(INDEX(_Datos!F:F,MATCH(219,_Datos!$I:$I,0)),"")</f>
        <v/>
      </c>
      <c r="G226" s="63" t="str">
        <f>IFERROR(INDEX(_Datos!G:G,MATCH(219,_Datos!$I:$I,0)),"")</f>
        <v/>
      </c>
      <c r="H226" s="66" t="str">
        <f>IFERROR(INDEX(_Datos!H:H,MATCH(219,_Datos!$I:$I,0)),"")</f>
        <v/>
      </c>
    </row>
    <row r="227" spans="1:8" x14ac:dyDescent="0.2">
      <c r="A227" s="67" t="str">
        <f>IFERROR(INDEX(_Datos!A:A,MATCH(220,_Datos!$I:$I,0)),"")</f>
        <v/>
      </c>
      <c r="B227" s="67" t="str">
        <f>IFERROR(INDEX(_Datos!B:B,MATCH(220,_Datos!$I:$I,0)),"")</f>
        <v/>
      </c>
      <c r="C227" s="67" t="str">
        <f>IFERROR(INDEX(_Datos!C:C,MATCH(220,_Datos!$I:$I,0)),"")</f>
        <v/>
      </c>
      <c r="D227" s="68" t="str">
        <f>IFERROR(INDEX(_Datos!D:D,MATCH(220,_Datos!$I:$I,0)),"")</f>
        <v/>
      </c>
      <c r="E227" s="69" t="str">
        <f>IFERROR(INDEX(_Datos!E:E,MATCH(220,_Datos!$I:$I,0)),"")</f>
        <v/>
      </c>
      <c r="F227" s="67" t="str">
        <f>IFERROR(INDEX(_Datos!F:F,MATCH(220,_Datos!$I:$I,0)),"")</f>
        <v/>
      </c>
      <c r="G227" s="67" t="str">
        <f>IFERROR(INDEX(_Datos!G:G,MATCH(220,_Datos!$I:$I,0)),"")</f>
        <v/>
      </c>
      <c r="H227" s="70" t="str">
        <f>IFERROR(INDEX(_Datos!H:H,MATCH(220,_Datos!$I:$I,0)),"")</f>
        <v/>
      </c>
    </row>
    <row r="228" spans="1:8" x14ac:dyDescent="0.2">
      <c r="A228" s="63" t="str">
        <f>IFERROR(INDEX(_Datos!A:A,MATCH(221,_Datos!$I:$I,0)),"")</f>
        <v/>
      </c>
      <c r="B228" s="63" t="str">
        <f>IFERROR(INDEX(_Datos!B:B,MATCH(221,_Datos!$I:$I,0)),"")</f>
        <v/>
      </c>
      <c r="C228" s="63" t="str">
        <f>IFERROR(INDEX(_Datos!C:C,MATCH(221,_Datos!$I:$I,0)),"")</f>
        <v/>
      </c>
      <c r="D228" s="64" t="str">
        <f>IFERROR(INDEX(_Datos!D:D,MATCH(221,_Datos!$I:$I,0)),"")</f>
        <v/>
      </c>
      <c r="E228" s="65" t="str">
        <f>IFERROR(INDEX(_Datos!E:E,MATCH(221,_Datos!$I:$I,0)),"")</f>
        <v/>
      </c>
      <c r="F228" s="63" t="str">
        <f>IFERROR(INDEX(_Datos!F:F,MATCH(221,_Datos!$I:$I,0)),"")</f>
        <v/>
      </c>
      <c r="G228" s="63" t="str">
        <f>IFERROR(INDEX(_Datos!G:G,MATCH(221,_Datos!$I:$I,0)),"")</f>
        <v/>
      </c>
      <c r="H228" s="66" t="str">
        <f>IFERROR(INDEX(_Datos!H:H,MATCH(221,_Datos!$I:$I,0)),"")</f>
        <v/>
      </c>
    </row>
    <row r="229" spans="1:8" x14ac:dyDescent="0.2">
      <c r="A229" s="67" t="str">
        <f>IFERROR(INDEX(_Datos!A:A,MATCH(222,_Datos!$I:$I,0)),"")</f>
        <v/>
      </c>
      <c r="B229" s="67" t="str">
        <f>IFERROR(INDEX(_Datos!B:B,MATCH(222,_Datos!$I:$I,0)),"")</f>
        <v/>
      </c>
      <c r="C229" s="67" t="str">
        <f>IFERROR(INDEX(_Datos!C:C,MATCH(222,_Datos!$I:$I,0)),"")</f>
        <v/>
      </c>
      <c r="D229" s="68" t="str">
        <f>IFERROR(INDEX(_Datos!D:D,MATCH(222,_Datos!$I:$I,0)),"")</f>
        <v/>
      </c>
      <c r="E229" s="69" t="str">
        <f>IFERROR(INDEX(_Datos!E:E,MATCH(222,_Datos!$I:$I,0)),"")</f>
        <v/>
      </c>
      <c r="F229" s="67" t="str">
        <f>IFERROR(INDEX(_Datos!F:F,MATCH(222,_Datos!$I:$I,0)),"")</f>
        <v/>
      </c>
      <c r="G229" s="67" t="str">
        <f>IFERROR(INDEX(_Datos!G:G,MATCH(222,_Datos!$I:$I,0)),"")</f>
        <v/>
      </c>
      <c r="H229" s="70" t="str">
        <f>IFERROR(INDEX(_Datos!H:H,MATCH(222,_Datos!$I:$I,0)),"")</f>
        <v/>
      </c>
    </row>
    <row r="230" spans="1:8" x14ac:dyDescent="0.2">
      <c r="A230" s="63" t="str">
        <f>IFERROR(INDEX(_Datos!A:A,MATCH(223,_Datos!$I:$I,0)),"")</f>
        <v/>
      </c>
      <c r="B230" s="63" t="str">
        <f>IFERROR(INDEX(_Datos!B:B,MATCH(223,_Datos!$I:$I,0)),"")</f>
        <v/>
      </c>
      <c r="C230" s="63" t="str">
        <f>IFERROR(INDEX(_Datos!C:C,MATCH(223,_Datos!$I:$I,0)),"")</f>
        <v/>
      </c>
      <c r="D230" s="64" t="str">
        <f>IFERROR(INDEX(_Datos!D:D,MATCH(223,_Datos!$I:$I,0)),"")</f>
        <v/>
      </c>
      <c r="E230" s="65" t="str">
        <f>IFERROR(INDEX(_Datos!E:E,MATCH(223,_Datos!$I:$I,0)),"")</f>
        <v/>
      </c>
      <c r="F230" s="63" t="str">
        <f>IFERROR(INDEX(_Datos!F:F,MATCH(223,_Datos!$I:$I,0)),"")</f>
        <v/>
      </c>
      <c r="G230" s="63" t="str">
        <f>IFERROR(INDEX(_Datos!G:G,MATCH(223,_Datos!$I:$I,0)),"")</f>
        <v/>
      </c>
      <c r="H230" s="66" t="str">
        <f>IFERROR(INDEX(_Datos!H:H,MATCH(223,_Datos!$I:$I,0)),"")</f>
        <v/>
      </c>
    </row>
    <row r="231" spans="1:8" x14ac:dyDescent="0.2">
      <c r="A231" s="67" t="str">
        <f>IFERROR(INDEX(_Datos!A:A,MATCH(224,_Datos!$I:$I,0)),"")</f>
        <v/>
      </c>
      <c r="B231" s="67" t="str">
        <f>IFERROR(INDEX(_Datos!B:B,MATCH(224,_Datos!$I:$I,0)),"")</f>
        <v/>
      </c>
      <c r="C231" s="67" t="str">
        <f>IFERROR(INDEX(_Datos!C:C,MATCH(224,_Datos!$I:$I,0)),"")</f>
        <v/>
      </c>
      <c r="D231" s="68" t="str">
        <f>IFERROR(INDEX(_Datos!D:D,MATCH(224,_Datos!$I:$I,0)),"")</f>
        <v/>
      </c>
      <c r="E231" s="69" t="str">
        <f>IFERROR(INDEX(_Datos!E:E,MATCH(224,_Datos!$I:$I,0)),"")</f>
        <v/>
      </c>
      <c r="F231" s="67" t="str">
        <f>IFERROR(INDEX(_Datos!F:F,MATCH(224,_Datos!$I:$I,0)),"")</f>
        <v/>
      </c>
      <c r="G231" s="67" t="str">
        <f>IFERROR(INDEX(_Datos!G:G,MATCH(224,_Datos!$I:$I,0)),"")</f>
        <v/>
      </c>
      <c r="H231" s="70" t="str">
        <f>IFERROR(INDEX(_Datos!H:H,MATCH(224,_Datos!$I:$I,0)),"")</f>
        <v/>
      </c>
    </row>
    <row r="232" spans="1:8" x14ac:dyDescent="0.2">
      <c r="A232" s="63" t="str">
        <f>IFERROR(INDEX(_Datos!A:A,MATCH(225,_Datos!$I:$I,0)),"")</f>
        <v/>
      </c>
      <c r="B232" s="63" t="str">
        <f>IFERROR(INDEX(_Datos!B:B,MATCH(225,_Datos!$I:$I,0)),"")</f>
        <v/>
      </c>
      <c r="C232" s="63" t="str">
        <f>IFERROR(INDEX(_Datos!C:C,MATCH(225,_Datos!$I:$I,0)),"")</f>
        <v/>
      </c>
      <c r="D232" s="64" t="str">
        <f>IFERROR(INDEX(_Datos!D:D,MATCH(225,_Datos!$I:$I,0)),"")</f>
        <v/>
      </c>
      <c r="E232" s="65" t="str">
        <f>IFERROR(INDEX(_Datos!E:E,MATCH(225,_Datos!$I:$I,0)),"")</f>
        <v/>
      </c>
      <c r="F232" s="63" t="str">
        <f>IFERROR(INDEX(_Datos!F:F,MATCH(225,_Datos!$I:$I,0)),"")</f>
        <v/>
      </c>
      <c r="G232" s="63" t="str">
        <f>IFERROR(INDEX(_Datos!G:G,MATCH(225,_Datos!$I:$I,0)),"")</f>
        <v/>
      </c>
      <c r="H232" s="66" t="str">
        <f>IFERROR(INDEX(_Datos!H:H,MATCH(225,_Datos!$I:$I,0)),"")</f>
        <v/>
      </c>
    </row>
    <row r="233" spans="1:8" x14ac:dyDescent="0.2">
      <c r="A233" s="67" t="str">
        <f>IFERROR(INDEX(_Datos!A:A,MATCH(226,_Datos!$I:$I,0)),"")</f>
        <v/>
      </c>
      <c r="B233" s="67" t="str">
        <f>IFERROR(INDEX(_Datos!B:B,MATCH(226,_Datos!$I:$I,0)),"")</f>
        <v/>
      </c>
      <c r="C233" s="67" t="str">
        <f>IFERROR(INDEX(_Datos!C:C,MATCH(226,_Datos!$I:$I,0)),"")</f>
        <v/>
      </c>
      <c r="D233" s="68" t="str">
        <f>IFERROR(INDEX(_Datos!D:D,MATCH(226,_Datos!$I:$I,0)),"")</f>
        <v/>
      </c>
      <c r="E233" s="69" t="str">
        <f>IFERROR(INDEX(_Datos!E:E,MATCH(226,_Datos!$I:$I,0)),"")</f>
        <v/>
      </c>
      <c r="F233" s="67" t="str">
        <f>IFERROR(INDEX(_Datos!F:F,MATCH(226,_Datos!$I:$I,0)),"")</f>
        <v/>
      </c>
      <c r="G233" s="67" t="str">
        <f>IFERROR(INDEX(_Datos!G:G,MATCH(226,_Datos!$I:$I,0)),"")</f>
        <v/>
      </c>
      <c r="H233" s="70" t="str">
        <f>IFERROR(INDEX(_Datos!H:H,MATCH(226,_Datos!$I:$I,0)),"")</f>
        <v/>
      </c>
    </row>
    <row r="234" spans="1:8" x14ac:dyDescent="0.2">
      <c r="A234" s="63" t="str">
        <f>IFERROR(INDEX(_Datos!A:A,MATCH(227,_Datos!$I:$I,0)),"")</f>
        <v/>
      </c>
      <c r="B234" s="63" t="str">
        <f>IFERROR(INDEX(_Datos!B:B,MATCH(227,_Datos!$I:$I,0)),"")</f>
        <v/>
      </c>
      <c r="C234" s="63" t="str">
        <f>IFERROR(INDEX(_Datos!C:C,MATCH(227,_Datos!$I:$I,0)),"")</f>
        <v/>
      </c>
      <c r="D234" s="64" t="str">
        <f>IFERROR(INDEX(_Datos!D:D,MATCH(227,_Datos!$I:$I,0)),"")</f>
        <v/>
      </c>
      <c r="E234" s="65" t="str">
        <f>IFERROR(INDEX(_Datos!E:E,MATCH(227,_Datos!$I:$I,0)),"")</f>
        <v/>
      </c>
      <c r="F234" s="63" t="str">
        <f>IFERROR(INDEX(_Datos!F:F,MATCH(227,_Datos!$I:$I,0)),"")</f>
        <v/>
      </c>
      <c r="G234" s="63" t="str">
        <f>IFERROR(INDEX(_Datos!G:G,MATCH(227,_Datos!$I:$I,0)),"")</f>
        <v/>
      </c>
      <c r="H234" s="66" t="str">
        <f>IFERROR(INDEX(_Datos!H:H,MATCH(227,_Datos!$I:$I,0)),"")</f>
        <v/>
      </c>
    </row>
    <row r="235" spans="1:8" x14ac:dyDescent="0.2">
      <c r="A235" s="67" t="str">
        <f>IFERROR(INDEX(_Datos!A:A,MATCH(228,_Datos!$I:$I,0)),"")</f>
        <v/>
      </c>
      <c r="B235" s="67" t="str">
        <f>IFERROR(INDEX(_Datos!B:B,MATCH(228,_Datos!$I:$I,0)),"")</f>
        <v/>
      </c>
      <c r="C235" s="67" t="str">
        <f>IFERROR(INDEX(_Datos!C:C,MATCH(228,_Datos!$I:$I,0)),"")</f>
        <v/>
      </c>
      <c r="D235" s="68" t="str">
        <f>IFERROR(INDEX(_Datos!D:D,MATCH(228,_Datos!$I:$I,0)),"")</f>
        <v/>
      </c>
      <c r="E235" s="69" t="str">
        <f>IFERROR(INDEX(_Datos!E:E,MATCH(228,_Datos!$I:$I,0)),"")</f>
        <v/>
      </c>
      <c r="F235" s="67" t="str">
        <f>IFERROR(INDEX(_Datos!F:F,MATCH(228,_Datos!$I:$I,0)),"")</f>
        <v/>
      </c>
      <c r="G235" s="67" t="str">
        <f>IFERROR(INDEX(_Datos!G:G,MATCH(228,_Datos!$I:$I,0)),"")</f>
        <v/>
      </c>
      <c r="H235" s="70" t="str">
        <f>IFERROR(INDEX(_Datos!H:H,MATCH(228,_Datos!$I:$I,0)),"")</f>
        <v/>
      </c>
    </row>
    <row r="236" spans="1:8" x14ac:dyDescent="0.2">
      <c r="A236" s="63" t="str">
        <f>IFERROR(INDEX(_Datos!A:A,MATCH(229,_Datos!$I:$I,0)),"")</f>
        <v/>
      </c>
      <c r="B236" s="63" t="str">
        <f>IFERROR(INDEX(_Datos!B:B,MATCH(229,_Datos!$I:$I,0)),"")</f>
        <v/>
      </c>
      <c r="C236" s="63" t="str">
        <f>IFERROR(INDEX(_Datos!C:C,MATCH(229,_Datos!$I:$I,0)),"")</f>
        <v/>
      </c>
      <c r="D236" s="64" t="str">
        <f>IFERROR(INDEX(_Datos!D:D,MATCH(229,_Datos!$I:$I,0)),"")</f>
        <v/>
      </c>
      <c r="E236" s="65" t="str">
        <f>IFERROR(INDEX(_Datos!E:E,MATCH(229,_Datos!$I:$I,0)),"")</f>
        <v/>
      </c>
      <c r="F236" s="63" t="str">
        <f>IFERROR(INDEX(_Datos!F:F,MATCH(229,_Datos!$I:$I,0)),"")</f>
        <v/>
      </c>
      <c r="G236" s="63" t="str">
        <f>IFERROR(INDEX(_Datos!G:G,MATCH(229,_Datos!$I:$I,0)),"")</f>
        <v/>
      </c>
      <c r="H236" s="66" t="str">
        <f>IFERROR(INDEX(_Datos!H:H,MATCH(229,_Datos!$I:$I,0)),"")</f>
        <v/>
      </c>
    </row>
    <row r="237" spans="1:8" x14ac:dyDescent="0.2">
      <c r="A237" s="67" t="str">
        <f>IFERROR(INDEX(_Datos!A:A,MATCH(230,_Datos!$I:$I,0)),"")</f>
        <v/>
      </c>
      <c r="B237" s="67" t="str">
        <f>IFERROR(INDEX(_Datos!B:B,MATCH(230,_Datos!$I:$I,0)),"")</f>
        <v/>
      </c>
      <c r="C237" s="67" t="str">
        <f>IFERROR(INDEX(_Datos!C:C,MATCH(230,_Datos!$I:$I,0)),"")</f>
        <v/>
      </c>
      <c r="D237" s="68" t="str">
        <f>IFERROR(INDEX(_Datos!D:D,MATCH(230,_Datos!$I:$I,0)),"")</f>
        <v/>
      </c>
      <c r="E237" s="69" t="str">
        <f>IFERROR(INDEX(_Datos!E:E,MATCH(230,_Datos!$I:$I,0)),"")</f>
        <v/>
      </c>
      <c r="F237" s="67" t="str">
        <f>IFERROR(INDEX(_Datos!F:F,MATCH(230,_Datos!$I:$I,0)),"")</f>
        <v/>
      </c>
      <c r="G237" s="67" t="str">
        <f>IFERROR(INDEX(_Datos!G:G,MATCH(230,_Datos!$I:$I,0)),"")</f>
        <v/>
      </c>
      <c r="H237" s="70" t="str">
        <f>IFERROR(INDEX(_Datos!H:H,MATCH(230,_Datos!$I:$I,0)),"")</f>
        <v/>
      </c>
    </row>
    <row r="238" spans="1:8" x14ac:dyDescent="0.2">
      <c r="A238" s="63" t="str">
        <f>IFERROR(INDEX(_Datos!A:A,MATCH(231,_Datos!$I:$I,0)),"")</f>
        <v/>
      </c>
      <c r="B238" s="63" t="str">
        <f>IFERROR(INDEX(_Datos!B:B,MATCH(231,_Datos!$I:$I,0)),"")</f>
        <v/>
      </c>
      <c r="C238" s="63" t="str">
        <f>IFERROR(INDEX(_Datos!C:C,MATCH(231,_Datos!$I:$I,0)),"")</f>
        <v/>
      </c>
      <c r="D238" s="64" t="str">
        <f>IFERROR(INDEX(_Datos!D:D,MATCH(231,_Datos!$I:$I,0)),"")</f>
        <v/>
      </c>
      <c r="E238" s="65" t="str">
        <f>IFERROR(INDEX(_Datos!E:E,MATCH(231,_Datos!$I:$I,0)),"")</f>
        <v/>
      </c>
      <c r="F238" s="63" t="str">
        <f>IFERROR(INDEX(_Datos!F:F,MATCH(231,_Datos!$I:$I,0)),"")</f>
        <v/>
      </c>
      <c r="G238" s="63" t="str">
        <f>IFERROR(INDEX(_Datos!G:G,MATCH(231,_Datos!$I:$I,0)),"")</f>
        <v/>
      </c>
      <c r="H238" s="66" t="str">
        <f>IFERROR(INDEX(_Datos!H:H,MATCH(231,_Datos!$I:$I,0)),"")</f>
        <v/>
      </c>
    </row>
    <row r="239" spans="1:8" x14ac:dyDescent="0.2">
      <c r="A239" s="67" t="str">
        <f>IFERROR(INDEX(_Datos!A:A,MATCH(232,_Datos!$I:$I,0)),"")</f>
        <v/>
      </c>
      <c r="B239" s="67" t="str">
        <f>IFERROR(INDEX(_Datos!B:B,MATCH(232,_Datos!$I:$I,0)),"")</f>
        <v/>
      </c>
      <c r="C239" s="67" t="str">
        <f>IFERROR(INDEX(_Datos!C:C,MATCH(232,_Datos!$I:$I,0)),"")</f>
        <v/>
      </c>
      <c r="D239" s="68" t="str">
        <f>IFERROR(INDEX(_Datos!D:D,MATCH(232,_Datos!$I:$I,0)),"")</f>
        <v/>
      </c>
      <c r="E239" s="69" t="str">
        <f>IFERROR(INDEX(_Datos!E:E,MATCH(232,_Datos!$I:$I,0)),"")</f>
        <v/>
      </c>
      <c r="F239" s="67" t="str">
        <f>IFERROR(INDEX(_Datos!F:F,MATCH(232,_Datos!$I:$I,0)),"")</f>
        <v/>
      </c>
      <c r="G239" s="67" t="str">
        <f>IFERROR(INDEX(_Datos!G:G,MATCH(232,_Datos!$I:$I,0)),"")</f>
        <v/>
      </c>
      <c r="H239" s="70" t="str">
        <f>IFERROR(INDEX(_Datos!H:H,MATCH(232,_Datos!$I:$I,0)),"")</f>
        <v/>
      </c>
    </row>
    <row r="240" spans="1:8" x14ac:dyDescent="0.2">
      <c r="A240" s="63" t="str">
        <f>IFERROR(INDEX(_Datos!A:A,MATCH(233,_Datos!$I:$I,0)),"")</f>
        <v/>
      </c>
      <c r="B240" s="63" t="str">
        <f>IFERROR(INDEX(_Datos!B:B,MATCH(233,_Datos!$I:$I,0)),"")</f>
        <v/>
      </c>
      <c r="C240" s="63" t="str">
        <f>IFERROR(INDEX(_Datos!C:C,MATCH(233,_Datos!$I:$I,0)),"")</f>
        <v/>
      </c>
      <c r="D240" s="64" t="str">
        <f>IFERROR(INDEX(_Datos!D:D,MATCH(233,_Datos!$I:$I,0)),"")</f>
        <v/>
      </c>
      <c r="E240" s="65" t="str">
        <f>IFERROR(INDEX(_Datos!E:E,MATCH(233,_Datos!$I:$I,0)),"")</f>
        <v/>
      </c>
      <c r="F240" s="63" t="str">
        <f>IFERROR(INDEX(_Datos!F:F,MATCH(233,_Datos!$I:$I,0)),"")</f>
        <v/>
      </c>
      <c r="G240" s="63" t="str">
        <f>IFERROR(INDEX(_Datos!G:G,MATCH(233,_Datos!$I:$I,0)),"")</f>
        <v/>
      </c>
      <c r="H240" s="66" t="str">
        <f>IFERROR(INDEX(_Datos!H:H,MATCH(233,_Datos!$I:$I,0)),"")</f>
        <v/>
      </c>
    </row>
    <row r="241" spans="1:8" x14ac:dyDescent="0.2">
      <c r="A241" s="67" t="str">
        <f>IFERROR(INDEX(_Datos!A:A,MATCH(234,_Datos!$I:$I,0)),"")</f>
        <v/>
      </c>
      <c r="B241" s="67" t="str">
        <f>IFERROR(INDEX(_Datos!B:B,MATCH(234,_Datos!$I:$I,0)),"")</f>
        <v/>
      </c>
      <c r="C241" s="67" t="str">
        <f>IFERROR(INDEX(_Datos!C:C,MATCH(234,_Datos!$I:$I,0)),"")</f>
        <v/>
      </c>
      <c r="D241" s="68" t="str">
        <f>IFERROR(INDEX(_Datos!D:D,MATCH(234,_Datos!$I:$I,0)),"")</f>
        <v/>
      </c>
      <c r="E241" s="69" t="str">
        <f>IFERROR(INDEX(_Datos!E:E,MATCH(234,_Datos!$I:$I,0)),"")</f>
        <v/>
      </c>
      <c r="F241" s="67" t="str">
        <f>IFERROR(INDEX(_Datos!F:F,MATCH(234,_Datos!$I:$I,0)),"")</f>
        <v/>
      </c>
      <c r="G241" s="67" t="str">
        <f>IFERROR(INDEX(_Datos!G:G,MATCH(234,_Datos!$I:$I,0)),"")</f>
        <v/>
      </c>
      <c r="H241" s="70" t="str">
        <f>IFERROR(INDEX(_Datos!H:H,MATCH(234,_Datos!$I:$I,0)),"")</f>
        <v/>
      </c>
    </row>
    <row r="242" spans="1:8" x14ac:dyDescent="0.2">
      <c r="A242" s="63" t="str">
        <f>IFERROR(INDEX(_Datos!A:A,MATCH(235,_Datos!$I:$I,0)),"")</f>
        <v/>
      </c>
      <c r="B242" s="63" t="str">
        <f>IFERROR(INDEX(_Datos!B:B,MATCH(235,_Datos!$I:$I,0)),"")</f>
        <v/>
      </c>
      <c r="C242" s="63" t="str">
        <f>IFERROR(INDEX(_Datos!C:C,MATCH(235,_Datos!$I:$I,0)),"")</f>
        <v/>
      </c>
      <c r="D242" s="64" t="str">
        <f>IFERROR(INDEX(_Datos!D:D,MATCH(235,_Datos!$I:$I,0)),"")</f>
        <v/>
      </c>
      <c r="E242" s="65" t="str">
        <f>IFERROR(INDEX(_Datos!E:E,MATCH(235,_Datos!$I:$I,0)),"")</f>
        <v/>
      </c>
      <c r="F242" s="63" t="str">
        <f>IFERROR(INDEX(_Datos!F:F,MATCH(235,_Datos!$I:$I,0)),"")</f>
        <v/>
      </c>
      <c r="G242" s="63" t="str">
        <f>IFERROR(INDEX(_Datos!G:G,MATCH(235,_Datos!$I:$I,0)),"")</f>
        <v/>
      </c>
      <c r="H242" s="66" t="str">
        <f>IFERROR(INDEX(_Datos!H:H,MATCH(235,_Datos!$I:$I,0)),"")</f>
        <v/>
      </c>
    </row>
    <row r="243" spans="1:8" x14ac:dyDescent="0.2">
      <c r="A243" s="67" t="str">
        <f>IFERROR(INDEX(_Datos!A:A,MATCH(236,_Datos!$I:$I,0)),"")</f>
        <v/>
      </c>
      <c r="B243" s="67" t="str">
        <f>IFERROR(INDEX(_Datos!B:B,MATCH(236,_Datos!$I:$I,0)),"")</f>
        <v/>
      </c>
      <c r="C243" s="67" t="str">
        <f>IFERROR(INDEX(_Datos!C:C,MATCH(236,_Datos!$I:$I,0)),"")</f>
        <v/>
      </c>
      <c r="D243" s="68" t="str">
        <f>IFERROR(INDEX(_Datos!D:D,MATCH(236,_Datos!$I:$I,0)),"")</f>
        <v/>
      </c>
      <c r="E243" s="69" t="str">
        <f>IFERROR(INDEX(_Datos!E:E,MATCH(236,_Datos!$I:$I,0)),"")</f>
        <v/>
      </c>
      <c r="F243" s="67" t="str">
        <f>IFERROR(INDEX(_Datos!F:F,MATCH(236,_Datos!$I:$I,0)),"")</f>
        <v/>
      </c>
      <c r="G243" s="67" t="str">
        <f>IFERROR(INDEX(_Datos!G:G,MATCH(236,_Datos!$I:$I,0)),"")</f>
        <v/>
      </c>
      <c r="H243" s="70" t="str">
        <f>IFERROR(INDEX(_Datos!H:H,MATCH(236,_Datos!$I:$I,0)),"")</f>
        <v/>
      </c>
    </row>
    <row r="244" spans="1:8" x14ac:dyDescent="0.2">
      <c r="A244" s="63" t="str">
        <f>IFERROR(INDEX(_Datos!A:A,MATCH(237,_Datos!$I:$I,0)),"")</f>
        <v/>
      </c>
      <c r="B244" s="63" t="str">
        <f>IFERROR(INDEX(_Datos!B:B,MATCH(237,_Datos!$I:$I,0)),"")</f>
        <v/>
      </c>
      <c r="C244" s="63" t="str">
        <f>IFERROR(INDEX(_Datos!C:C,MATCH(237,_Datos!$I:$I,0)),"")</f>
        <v/>
      </c>
      <c r="D244" s="64" t="str">
        <f>IFERROR(INDEX(_Datos!D:D,MATCH(237,_Datos!$I:$I,0)),"")</f>
        <v/>
      </c>
      <c r="E244" s="65" t="str">
        <f>IFERROR(INDEX(_Datos!E:E,MATCH(237,_Datos!$I:$I,0)),"")</f>
        <v/>
      </c>
      <c r="F244" s="63" t="str">
        <f>IFERROR(INDEX(_Datos!F:F,MATCH(237,_Datos!$I:$I,0)),"")</f>
        <v/>
      </c>
      <c r="G244" s="63" t="str">
        <f>IFERROR(INDEX(_Datos!G:G,MATCH(237,_Datos!$I:$I,0)),"")</f>
        <v/>
      </c>
      <c r="H244" s="66" t="str">
        <f>IFERROR(INDEX(_Datos!H:H,MATCH(237,_Datos!$I:$I,0)),"")</f>
        <v/>
      </c>
    </row>
    <row r="245" spans="1:8" x14ac:dyDescent="0.2">
      <c r="A245" s="67" t="str">
        <f>IFERROR(INDEX(_Datos!A:A,MATCH(238,_Datos!$I:$I,0)),"")</f>
        <v/>
      </c>
      <c r="B245" s="67" t="str">
        <f>IFERROR(INDEX(_Datos!B:B,MATCH(238,_Datos!$I:$I,0)),"")</f>
        <v/>
      </c>
      <c r="C245" s="67" t="str">
        <f>IFERROR(INDEX(_Datos!C:C,MATCH(238,_Datos!$I:$I,0)),"")</f>
        <v/>
      </c>
      <c r="D245" s="68" t="str">
        <f>IFERROR(INDEX(_Datos!D:D,MATCH(238,_Datos!$I:$I,0)),"")</f>
        <v/>
      </c>
      <c r="E245" s="69" t="str">
        <f>IFERROR(INDEX(_Datos!E:E,MATCH(238,_Datos!$I:$I,0)),"")</f>
        <v/>
      </c>
      <c r="F245" s="67" t="str">
        <f>IFERROR(INDEX(_Datos!F:F,MATCH(238,_Datos!$I:$I,0)),"")</f>
        <v/>
      </c>
      <c r="G245" s="67" t="str">
        <f>IFERROR(INDEX(_Datos!G:G,MATCH(238,_Datos!$I:$I,0)),"")</f>
        <v/>
      </c>
      <c r="H245" s="70" t="str">
        <f>IFERROR(INDEX(_Datos!H:H,MATCH(238,_Datos!$I:$I,0)),"")</f>
        <v/>
      </c>
    </row>
    <row r="246" spans="1:8" x14ac:dyDescent="0.2">
      <c r="A246" s="63" t="str">
        <f>IFERROR(INDEX(_Datos!A:A,MATCH(239,_Datos!$I:$I,0)),"")</f>
        <v/>
      </c>
      <c r="B246" s="63" t="str">
        <f>IFERROR(INDEX(_Datos!B:B,MATCH(239,_Datos!$I:$I,0)),"")</f>
        <v/>
      </c>
      <c r="C246" s="63" t="str">
        <f>IFERROR(INDEX(_Datos!C:C,MATCH(239,_Datos!$I:$I,0)),"")</f>
        <v/>
      </c>
      <c r="D246" s="64" t="str">
        <f>IFERROR(INDEX(_Datos!D:D,MATCH(239,_Datos!$I:$I,0)),"")</f>
        <v/>
      </c>
      <c r="E246" s="65" t="str">
        <f>IFERROR(INDEX(_Datos!E:E,MATCH(239,_Datos!$I:$I,0)),"")</f>
        <v/>
      </c>
      <c r="F246" s="63" t="str">
        <f>IFERROR(INDEX(_Datos!F:F,MATCH(239,_Datos!$I:$I,0)),"")</f>
        <v/>
      </c>
      <c r="G246" s="63" t="str">
        <f>IFERROR(INDEX(_Datos!G:G,MATCH(239,_Datos!$I:$I,0)),"")</f>
        <v/>
      </c>
      <c r="H246" s="66" t="str">
        <f>IFERROR(INDEX(_Datos!H:H,MATCH(239,_Datos!$I:$I,0)),"")</f>
        <v/>
      </c>
    </row>
    <row r="247" spans="1:8" x14ac:dyDescent="0.2">
      <c r="A247" s="67" t="str">
        <f>IFERROR(INDEX(_Datos!A:A,MATCH(240,_Datos!$I:$I,0)),"")</f>
        <v/>
      </c>
      <c r="B247" s="67" t="str">
        <f>IFERROR(INDEX(_Datos!B:B,MATCH(240,_Datos!$I:$I,0)),"")</f>
        <v/>
      </c>
      <c r="C247" s="67" t="str">
        <f>IFERROR(INDEX(_Datos!C:C,MATCH(240,_Datos!$I:$I,0)),"")</f>
        <v/>
      </c>
      <c r="D247" s="68" t="str">
        <f>IFERROR(INDEX(_Datos!D:D,MATCH(240,_Datos!$I:$I,0)),"")</f>
        <v/>
      </c>
      <c r="E247" s="69" t="str">
        <f>IFERROR(INDEX(_Datos!E:E,MATCH(240,_Datos!$I:$I,0)),"")</f>
        <v/>
      </c>
      <c r="F247" s="67" t="str">
        <f>IFERROR(INDEX(_Datos!F:F,MATCH(240,_Datos!$I:$I,0)),"")</f>
        <v/>
      </c>
      <c r="G247" s="67" t="str">
        <f>IFERROR(INDEX(_Datos!G:G,MATCH(240,_Datos!$I:$I,0)),"")</f>
        <v/>
      </c>
      <c r="H247" s="70" t="str">
        <f>IFERROR(INDEX(_Datos!H:H,MATCH(240,_Datos!$I:$I,0)),"")</f>
        <v/>
      </c>
    </row>
    <row r="248" spans="1:8" x14ac:dyDescent="0.2">
      <c r="A248" s="63" t="str">
        <f>IFERROR(INDEX(_Datos!A:A,MATCH(241,_Datos!$I:$I,0)),"")</f>
        <v/>
      </c>
      <c r="B248" s="63" t="str">
        <f>IFERROR(INDEX(_Datos!B:B,MATCH(241,_Datos!$I:$I,0)),"")</f>
        <v/>
      </c>
      <c r="C248" s="63" t="str">
        <f>IFERROR(INDEX(_Datos!C:C,MATCH(241,_Datos!$I:$I,0)),"")</f>
        <v/>
      </c>
      <c r="D248" s="64" t="str">
        <f>IFERROR(INDEX(_Datos!D:D,MATCH(241,_Datos!$I:$I,0)),"")</f>
        <v/>
      </c>
      <c r="E248" s="65" t="str">
        <f>IFERROR(INDEX(_Datos!E:E,MATCH(241,_Datos!$I:$I,0)),"")</f>
        <v/>
      </c>
      <c r="F248" s="63" t="str">
        <f>IFERROR(INDEX(_Datos!F:F,MATCH(241,_Datos!$I:$I,0)),"")</f>
        <v/>
      </c>
      <c r="G248" s="63" t="str">
        <f>IFERROR(INDEX(_Datos!G:G,MATCH(241,_Datos!$I:$I,0)),"")</f>
        <v/>
      </c>
      <c r="H248" s="66" t="str">
        <f>IFERROR(INDEX(_Datos!H:H,MATCH(241,_Datos!$I:$I,0)),"")</f>
        <v/>
      </c>
    </row>
    <row r="249" spans="1:8" x14ac:dyDescent="0.2">
      <c r="A249" s="67" t="str">
        <f>IFERROR(INDEX(_Datos!A:A,MATCH(242,_Datos!$I:$I,0)),"")</f>
        <v/>
      </c>
      <c r="B249" s="67" t="str">
        <f>IFERROR(INDEX(_Datos!B:B,MATCH(242,_Datos!$I:$I,0)),"")</f>
        <v/>
      </c>
      <c r="C249" s="67" t="str">
        <f>IFERROR(INDEX(_Datos!C:C,MATCH(242,_Datos!$I:$I,0)),"")</f>
        <v/>
      </c>
      <c r="D249" s="68" t="str">
        <f>IFERROR(INDEX(_Datos!D:D,MATCH(242,_Datos!$I:$I,0)),"")</f>
        <v/>
      </c>
      <c r="E249" s="69" t="str">
        <f>IFERROR(INDEX(_Datos!E:E,MATCH(242,_Datos!$I:$I,0)),"")</f>
        <v/>
      </c>
      <c r="F249" s="67" t="str">
        <f>IFERROR(INDEX(_Datos!F:F,MATCH(242,_Datos!$I:$I,0)),"")</f>
        <v/>
      </c>
      <c r="G249" s="67" t="str">
        <f>IFERROR(INDEX(_Datos!G:G,MATCH(242,_Datos!$I:$I,0)),"")</f>
        <v/>
      </c>
      <c r="H249" s="70" t="str">
        <f>IFERROR(INDEX(_Datos!H:H,MATCH(242,_Datos!$I:$I,0)),"")</f>
        <v/>
      </c>
    </row>
    <row r="250" spans="1:8" x14ac:dyDescent="0.2">
      <c r="A250" s="63" t="str">
        <f>IFERROR(INDEX(_Datos!A:A,MATCH(243,_Datos!$I:$I,0)),"")</f>
        <v/>
      </c>
      <c r="B250" s="63" t="str">
        <f>IFERROR(INDEX(_Datos!B:B,MATCH(243,_Datos!$I:$I,0)),"")</f>
        <v/>
      </c>
      <c r="C250" s="63" t="str">
        <f>IFERROR(INDEX(_Datos!C:C,MATCH(243,_Datos!$I:$I,0)),"")</f>
        <v/>
      </c>
      <c r="D250" s="64" t="str">
        <f>IFERROR(INDEX(_Datos!D:D,MATCH(243,_Datos!$I:$I,0)),"")</f>
        <v/>
      </c>
      <c r="E250" s="65" t="str">
        <f>IFERROR(INDEX(_Datos!E:E,MATCH(243,_Datos!$I:$I,0)),"")</f>
        <v/>
      </c>
      <c r="F250" s="63" t="str">
        <f>IFERROR(INDEX(_Datos!F:F,MATCH(243,_Datos!$I:$I,0)),"")</f>
        <v/>
      </c>
      <c r="G250" s="63" t="str">
        <f>IFERROR(INDEX(_Datos!G:G,MATCH(243,_Datos!$I:$I,0)),"")</f>
        <v/>
      </c>
      <c r="H250" s="66" t="str">
        <f>IFERROR(INDEX(_Datos!H:H,MATCH(243,_Datos!$I:$I,0)),"")</f>
        <v/>
      </c>
    </row>
    <row r="251" spans="1:8" x14ac:dyDescent="0.2">
      <c r="A251" s="67" t="str">
        <f>IFERROR(INDEX(_Datos!A:A,MATCH(244,_Datos!$I:$I,0)),"")</f>
        <v/>
      </c>
      <c r="B251" s="67" t="str">
        <f>IFERROR(INDEX(_Datos!B:B,MATCH(244,_Datos!$I:$I,0)),"")</f>
        <v/>
      </c>
      <c r="C251" s="67" t="str">
        <f>IFERROR(INDEX(_Datos!C:C,MATCH(244,_Datos!$I:$I,0)),"")</f>
        <v/>
      </c>
      <c r="D251" s="68" t="str">
        <f>IFERROR(INDEX(_Datos!D:D,MATCH(244,_Datos!$I:$I,0)),"")</f>
        <v/>
      </c>
      <c r="E251" s="69" t="str">
        <f>IFERROR(INDEX(_Datos!E:E,MATCH(244,_Datos!$I:$I,0)),"")</f>
        <v/>
      </c>
      <c r="F251" s="67" t="str">
        <f>IFERROR(INDEX(_Datos!F:F,MATCH(244,_Datos!$I:$I,0)),"")</f>
        <v/>
      </c>
      <c r="G251" s="67" t="str">
        <f>IFERROR(INDEX(_Datos!G:G,MATCH(244,_Datos!$I:$I,0)),"")</f>
        <v/>
      </c>
      <c r="H251" s="70" t="str">
        <f>IFERROR(INDEX(_Datos!H:H,MATCH(244,_Datos!$I:$I,0)),"")</f>
        <v/>
      </c>
    </row>
    <row r="252" spans="1:8" x14ac:dyDescent="0.2">
      <c r="A252" s="63" t="str">
        <f>IFERROR(INDEX(_Datos!A:A,MATCH(245,_Datos!$I:$I,0)),"")</f>
        <v/>
      </c>
      <c r="B252" s="63" t="str">
        <f>IFERROR(INDEX(_Datos!B:B,MATCH(245,_Datos!$I:$I,0)),"")</f>
        <v/>
      </c>
      <c r="C252" s="63" t="str">
        <f>IFERROR(INDEX(_Datos!C:C,MATCH(245,_Datos!$I:$I,0)),"")</f>
        <v/>
      </c>
      <c r="D252" s="64" t="str">
        <f>IFERROR(INDEX(_Datos!D:D,MATCH(245,_Datos!$I:$I,0)),"")</f>
        <v/>
      </c>
      <c r="E252" s="65" t="str">
        <f>IFERROR(INDEX(_Datos!E:E,MATCH(245,_Datos!$I:$I,0)),"")</f>
        <v/>
      </c>
      <c r="F252" s="63" t="str">
        <f>IFERROR(INDEX(_Datos!F:F,MATCH(245,_Datos!$I:$I,0)),"")</f>
        <v/>
      </c>
      <c r="G252" s="63" t="str">
        <f>IFERROR(INDEX(_Datos!G:G,MATCH(245,_Datos!$I:$I,0)),"")</f>
        <v/>
      </c>
      <c r="H252" s="66" t="str">
        <f>IFERROR(INDEX(_Datos!H:H,MATCH(245,_Datos!$I:$I,0)),"")</f>
        <v/>
      </c>
    </row>
    <row r="253" spans="1:8" x14ac:dyDescent="0.2">
      <c r="A253" s="67" t="str">
        <f>IFERROR(INDEX(_Datos!A:A,MATCH(246,_Datos!$I:$I,0)),"")</f>
        <v/>
      </c>
      <c r="B253" s="67" t="str">
        <f>IFERROR(INDEX(_Datos!B:B,MATCH(246,_Datos!$I:$I,0)),"")</f>
        <v/>
      </c>
      <c r="C253" s="67" t="str">
        <f>IFERROR(INDEX(_Datos!C:C,MATCH(246,_Datos!$I:$I,0)),"")</f>
        <v/>
      </c>
      <c r="D253" s="68" t="str">
        <f>IFERROR(INDEX(_Datos!D:D,MATCH(246,_Datos!$I:$I,0)),"")</f>
        <v/>
      </c>
      <c r="E253" s="69" t="str">
        <f>IFERROR(INDEX(_Datos!E:E,MATCH(246,_Datos!$I:$I,0)),"")</f>
        <v/>
      </c>
      <c r="F253" s="67" t="str">
        <f>IFERROR(INDEX(_Datos!F:F,MATCH(246,_Datos!$I:$I,0)),"")</f>
        <v/>
      </c>
      <c r="G253" s="67" t="str">
        <f>IFERROR(INDEX(_Datos!G:G,MATCH(246,_Datos!$I:$I,0)),"")</f>
        <v/>
      </c>
      <c r="H253" s="70" t="str">
        <f>IFERROR(INDEX(_Datos!H:H,MATCH(246,_Datos!$I:$I,0)),"")</f>
        <v/>
      </c>
    </row>
    <row r="254" spans="1:8" x14ac:dyDescent="0.2">
      <c r="A254" s="63" t="str">
        <f>IFERROR(INDEX(_Datos!A:A,MATCH(247,_Datos!$I:$I,0)),"")</f>
        <v/>
      </c>
      <c r="B254" s="63" t="str">
        <f>IFERROR(INDEX(_Datos!B:B,MATCH(247,_Datos!$I:$I,0)),"")</f>
        <v/>
      </c>
      <c r="C254" s="63" t="str">
        <f>IFERROR(INDEX(_Datos!C:C,MATCH(247,_Datos!$I:$I,0)),"")</f>
        <v/>
      </c>
      <c r="D254" s="64" t="str">
        <f>IFERROR(INDEX(_Datos!D:D,MATCH(247,_Datos!$I:$I,0)),"")</f>
        <v/>
      </c>
      <c r="E254" s="65" t="str">
        <f>IFERROR(INDEX(_Datos!E:E,MATCH(247,_Datos!$I:$I,0)),"")</f>
        <v/>
      </c>
      <c r="F254" s="63" t="str">
        <f>IFERROR(INDEX(_Datos!F:F,MATCH(247,_Datos!$I:$I,0)),"")</f>
        <v/>
      </c>
      <c r="G254" s="63" t="str">
        <f>IFERROR(INDEX(_Datos!G:G,MATCH(247,_Datos!$I:$I,0)),"")</f>
        <v/>
      </c>
      <c r="H254" s="66" t="str">
        <f>IFERROR(INDEX(_Datos!H:H,MATCH(247,_Datos!$I:$I,0)),"")</f>
        <v/>
      </c>
    </row>
    <row r="255" spans="1:8" x14ac:dyDescent="0.2">
      <c r="A255" s="67" t="str">
        <f>IFERROR(INDEX(_Datos!A:A,MATCH(248,_Datos!$I:$I,0)),"")</f>
        <v/>
      </c>
      <c r="B255" s="67" t="str">
        <f>IFERROR(INDEX(_Datos!B:B,MATCH(248,_Datos!$I:$I,0)),"")</f>
        <v/>
      </c>
      <c r="C255" s="67" t="str">
        <f>IFERROR(INDEX(_Datos!C:C,MATCH(248,_Datos!$I:$I,0)),"")</f>
        <v/>
      </c>
      <c r="D255" s="68" t="str">
        <f>IFERROR(INDEX(_Datos!D:D,MATCH(248,_Datos!$I:$I,0)),"")</f>
        <v/>
      </c>
      <c r="E255" s="69" t="str">
        <f>IFERROR(INDEX(_Datos!E:E,MATCH(248,_Datos!$I:$I,0)),"")</f>
        <v/>
      </c>
      <c r="F255" s="67" t="str">
        <f>IFERROR(INDEX(_Datos!F:F,MATCH(248,_Datos!$I:$I,0)),"")</f>
        <v/>
      </c>
      <c r="G255" s="67" t="str">
        <f>IFERROR(INDEX(_Datos!G:G,MATCH(248,_Datos!$I:$I,0)),"")</f>
        <v/>
      </c>
      <c r="H255" s="70" t="str">
        <f>IFERROR(INDEX(_Datos!H:H,MATCH(248,_Datos!$I:$I,0)),"")</f>
        <v/>
      </c>
    </row>
    <row r="256" spans="1:8" x14ac:dyDescent="0.2">
      <c r="A256" s="63" t="str">
        <f>IFERROR(INDEX(_Datos!A:A,MATCH(249,_Datos!$I:$I,0)),"")</f>
        <v/>
      </c>
      <c r="B256" s="63" t="str">
        <f>IFERROR(INDEX(_Datos!B:B,MATCH(249,_Datos!$I:$I,0)),"")</f>
        <v/>
      </c>
      <c r="C256" s="63" t="str">
        <f>IFERROR(INDEX(_Datos!C:C,MATCH(249,_Datos!$I:$I,0)),"")</f>
        <v/>
      </c>
      <c r="D256" s="64" t="str">
        <f>IFERROR(INDEX(_Datos!D:D,MATCH(249,_Datos!$I:$I,0)),"")</f>
        <v/>
      </c>
      <c r="E256" s="65" t="str">
        <f>IFERROR(INDEX(_Datos!E:E,MATCH(249,_Datos!$I:$I,0)),"")</f>
        <v/>
      </c>
      <c r="F256" s="63" t="str">
        <f>IFERROR(INDEX(_Datos!F:F,MATCH(249,_Datos!$I:$I,0)),"")</f>
        <v/>
      </c>
      <c r="G256" s="63" t="str">
        <f>IFERROR(INDEX(_Datos!G:G,MATCH(249,_Datos!$I:$I,0)),"")</f>
        <v/>
      </c>
      <c r="H256" s="66" t="str">
        <f>IFERROR(INDEX(_Datos!H:H,MATCH(249,_Datos!$I:$I,0)),"")</f>
        <v/>
      </c>
    </row>
    <row r="257" spans="1:8" x14ac:dyDescent="0.2">
      <c r="A257" s="67" t="str">
        <f>IFERROR(INDEX(_Datos!A:A,MATCH(250,_Datos!$I:$I,0)),"")</f>
        <v/>
      </c>
      <c r="B257" s="67" t="str">
        <f>IFERROR(INDEX(_Datos!B:B,MATCH(250,_Datos!$I:$I,0)),"")</f>
        <v/>
      </c>
      <c r="C257" s="67" t="str">
        <f>IFERROR(INDEX(_Datos!C:C,MATCH(250,_Datos!$I:$I,0)),"")</f>
        <v/>
      </c>
      <c r="D257" s="68" t="str">
        <f>IFERROR(INDEX(_Datos!D:D,MATCH(250,_Datos!$I:$I,0)),"")</f>
        <v/>
      </c>
      <c r="E257" s="69" t="str">
        <f>IFERROR(INDEX(_Datos!E:E,MATCH(250,_Datos!$I:$I,0)),"")</f>
        <v/>
      </c>
      <c r="F257" s="67" t="str">
        <f>IFERROR(INDEX(_Datos!F:F,MATCH(250,_Datos!$I:$I,0)),"")</f>
        <v/>
      </c>
      <c r="G257" s="67" t="str">
        <f>IFERROR(INDEX(_Datos!G:G,MATCH(250,_Datos!$I:$I,0)),"")</f>
        <v/>
      </c>
      <c r="H257" s="70" t="str">
        <f>IFERROR(INDEX(_Datos!H:H,MATCH(250,_Datos!$I:$I,0)),"")</f>
        <v/>
      </c>
    </row>
    <row r="258" spans="1:8" x14ac:dyDescent="0.2">
      <c r="A258" s="63" t="str">
        <f>IFERROR(INDEX(_Datos!A:A,MATCH(251,_Datos!$I:$I,0)),"")</f>
        <v/>
      </c>
      <c r="B258" s="63" t="str">
        <f>IFERROR(INDEX(_Datos!B:B,MATCH(251,_Datos!$I:$I,0)),"")</f>
        <v/>
      </c>
      <c r="C258" s="63" t="str">
        <f>IFERROR(INDEX(_Datos!C:C,MATCH(251,_Datos!$I:$I,0)),"")</f>
        <v/>
      </c>
      <c r="D258" s="64" t="str">
        <f>IFERROR(INDEX(_Datos!D:D,MATCH(251,_Datos!$I:$I,0)),"")</f>
        <v/>
      </c>
      <c r="E258" s="65" t="str">
        <f>IFERROR(INDEX(_Datos!E:E,MATCH(251,_Datos!$I:$I,0)),"")</f>
        <v/>
      </c>
      <c r="F258" s="63" t="str">
        <f>IFERROR(INDEX(_Datos!F:F,MATCH(251,_Datos!$I:$I,0)),"")</f>
        <v/>
      </c>
      <c r="G258" s="63" t="str">
        <f>IFERROR(INDEX(_Datos!G:G,MATCH(251,_Datos!$I:$I,0)),"")</f>
        <v/>
      </c>
      <c r="H258" s="66" t="str">
        <f>IFERROR(INDEX(_Datos!H:H,MATCH(251,_Datos!$I:$I,0)),"")</f>
        <v/>
      </c>
    </row>
    <row r="259" spans="1:8" x14ac:dyDescent="0.2">
      <c r="A259" s="67" t="str">
        <f>IFERROR(INDEX(_Datos!A:A,MATCH(252,_Datos!$I:$I,0)),"")</f>
        <v/>
      </c>
      <c r="B259" s="67" t="str">
        <f>IFERROR(INDEX(_Datos!B:B,MATCH(252,_Datos!$I:$I,0)),"")</f>
        <v/>
      </c>
      <c r="C259" s="67" t="str">
        <f>IFERROR(INDEX(_Datos!C:C,MATCH(252,_Datos!$I:$I,0)),"")</f>
        <v/>
      </c>
      <c r="D259" s="68" t="str">
        <f>IFERROR(INDEX(_Datos!D:D,MATCH(252,_Datos!$I:$I,0)),"")</f>
        <v/>
      </c>
      <c r="E259" s="69" t="str">
        <f>IFERROR(INDEX(_Datos!E:E,MATCH(252,_Datos!$I:$I,0)),"")</f>
        <v/>
      </c>
      <c r="F259" s="67" t="str">
        <f>IFERROR(INDEX(_Datos!F:F,MATCH(252,_Datos!$I:$I,0)),"")</f>
        <v/>
      </c>
      <c r="G259" s="67" t="str">
        <f>IFERROR(INDEX(_Datos!G:G,MATCH(252,_Datos!$I:$I,0)),"")</f>
        <v/>
      </c>
      <c r="H259" s="70" t="str">
        <f>IFERROR(INDEX(_Datos!H:H,MATCH(252,_Datos!$I:$I,0)),"")</f>
        <v/>
      </c>
    </row>
    <row r="260" spans="1:8" x14ac:dyDescent="0.2">
      <c r="A260" s="63" t="str">
        <f>IFERROR(INDEX(_Datos!A:A,MATCH(253,_Datos!$I:$I,0)),"")</f>
        <v/>
      </c>
      <c r="B260" s="63" t="str">
        <f>IFERROR(INDEX(_Datos!B:B,MATCH(253,_Datos!$I:$I,0)),"")</f>
        <v/>
      </c>
      <c r="C260" s="63" t="str">
        <f>IFERROR(INDEX(_Datos!C:C,MATCH(253,_Datos!$I:$I,0)),"")</f>
        <v/>
      </c>
      <c r="D260" s="64" t="str">
        <f>IFERROR(INDEX(_Datos!D:D,MATCH(253,_Datos!$I:$I,0)),"")</f>
        <v/>
      </c>
      <c r="E260" s="65" t="str">
        <f>IFERROR(INDEX(_Datos!E:E,MATCH(253,_Datos!$I:$I,0)),"")</f>
        <v/>
      </c>
      <c r="F260" s="63" t="str">
        <f>IFERROR(INDEX(_Datos!F:F,MATCH(253,_Datos!$I:$I,0)),"")</f>
        <v/>
      </c>
      <c r="G260" s="63" t="str">
        <f>IFERROR(INDEX(_Datos!G:G,MATCH(253,_Datos!$I:$I,0)),"")</f>
        <v/>
      </c>
      <c r="H260" s="66" t="str">
        <f>IFERROR(INDEX(_Datos!H:H,MATCH(253,_Datos!$I:$I,0)),"")</f>
        <v/>
      </c>
    </row>
    <row r="261" spans="1:8" x14ac:dyDescent="0.2">
      <c r="A261" s="67" t="str">
        <f>IFERROR(INDEX(_Datos!A:A,MATCH(254,_Datos!$I:$I,0)),"")</f>
        <v/>
      </c>
      <c r="B261" s="67" t="str">
        <f>IFERROR(INDEX(_Datos!B:B,MATCH(254,_Datos!$I:$I,0)),"")</f>
        <v/>
      </c>
      <c r="C261" s="67" t="str">
        <f>IFERROR(INDEX(_Datos!C:C,MATCH(254,_Datos!$I:$I,0)),"")</f>
        <v/>
      </c>
      <c r="D261" s="68" t="str">
        <f>IFERROR(INDEX(_Datos!D:D,MATCH(254,_Datos!$I:$I,0)),"")</f>
        <v/>
      </c>
      <c r="E261" s="69" t="str">
        <f>IFERROR(INDEX(_Datos!E:E,MATCH(254,_Datos!$I:$I,0)),"")</f>
        <v/>
      </c>
      <c r="F261" s="67" t="str">
        <f>IFERROR(INDEX(_Datos!F:F,MATCH(254,_Datos!$I:$I,0)),"")</f>
        <v/>
      </c>
      <c r="G261" s="67" t="str">
        <f>IFERROR(INDEX(_Datos!G:G,MATCH(254,_Datos!$I:$I,0)),"")</f>
        <v/>
      </c>
      <c r="H261" s="70" t="str">
        <f>IFERROR(INDEX(_Datos!H:H,MATCH(254,_Datos!$I:$I,0)),"")</f>
        <v/>
      </c>
    </row>
    <row r="262" spans="1:8" x14ac:dyDescent="0.2">
      <c r="A262" s="63" t="str">
        <f>IFERROR(INDEX(_Datos!A:A,MATCH(255,_Datos!$I:$I,0)),"")</f>
        <v/>
      </c>
      <c r="B262" s="63" t="str">
        <f>IFERROR(INDEX(_Datos!B:B,MATCH(255,_Datos!$I:$I,0)),"")</f>
        <v/>
      </c>
      <c r="C262" s="63" t="str">
        <f>IFERROR(INDEX(_Datos!C:C,MATCH(255,_Datos!$I:$I,0)),"")</f>
        <v/>
      </c>
      <c r="D262" s="64" t="str">
        <f>IFERROR(INDEX(_Datos!D:D,MATCH(255,_Datos!$I:$I,0)),"")</f>
        <v/>
      </c>
      <c r="E262" s="65" t="str">
        <f>IFERROR(INDEX(_Datos!E:E,MATCH(255,_Datos!$I:$I,0)),"")</f>
        <v/>
      </c>
      <c r="F262" s="63" t="str">
        <f>IFERROR(INDEX(_Datos!F:F,MATCH(255,_Datos!$I:$I,0)),"")</f>
        <v/>
      </c>
      <c r="G262" s="63" t="str">
        <f>IFERROR(INDEX(_Datos!G:G,MATCH(255,_Datos!$I:$I,0)),"")</f>
        <v/>
      </c>
      <c r="H262" s="66" t="str">
        <f>IFERROR(INDEX(_Datos!H:H,MATCH(255,_Datos!$I:$I,0)),"")</f>
        <v/>
      </c>
    </row>
    <row r="263" spans="1:8" x14ac:dyDescent="0.2">
      <c r="A263" s="67" t="str">
        <f>IFERROR(INDEX(_Datos!A:A,MATCH(256,_Datos!$I:$I,0)),"")</f>
        <v/>
      </c>
      <c r="B263" s="67" t="str">
        <f>IFERROR(INDEX(_Datos!B:B,MATCH(256,_Datos!$I:$I,0)),"")</f>
        <v/>
      </c>
      <c r="C263" s="67" t="str">
        <f>IFERROR(INDEX(_Datos!C:C,MATCH(256,_Datos!$I:$I,0)),"")</f>
        <v/>
      </c>
      <c r="D263" s="68" t="str">
        <f>IFERROR(INDEX(_Datos!D:D,MATCH(256,_Datos!$I:$I,0)),"")</f>
        <v/>
      </c>
      <c r="E263" s="69" t="str">
        <f>IFERROR(INDEX(_Datos!E:E,MATCH(256,_Datos!$I:$I,0)),"")</f>
        <v/>
      </c>
      <c r="F263" s="67" t="str">
        <f>IFERROR(INDEX(_Datos!F:F,MATCH(256,_Datos!$I:$I,0)),"")</f>
        <v/>
      </c>
      <c r="G263" s="67" t="str">
        <f>IFERROR(INDEX(_Datos!G:G,MATCH(256,_Datos!$I:$I,0)),"")</f>
        <v/>
      </c>
      <c r="H263" s="70" t="str">
        <f>IFERROR(INDEX(_Datos!H:H,MATCH(256,_Datos!$I:$I,0)),"")</f>
        <v/>
      </c>
    </row>
    <row r="264" spans="1:8" x14ac:dyDescent="0.2">
      <c r="A264" s="63" t="str">
        <f>IFERROR(INDEX(_Datos!A:A,MATCH(257,_Datos!$I:$I,0)),"")</f>
        <v/>
      </c>
      <c r="B264" s="63" t="str">
        <f>IFERROR(INDEX(_Datos!B:B,MATCH(257,_Datos!$I:$I,0)),"")</f>
        <v/>
      </c>
      <c r="C264" s="63" t="str">
        <f>IFERROR(INDEX(_Datos!C:C,MATCH(257,_Datos!$I:$I,0)),"")</f>
        <v/>
      </c>
      <c r="D264" s="64" t="str">
        <f>IFERROR(INDEX(_Datos!D:D,MATCH(257,_Datos!$I:$I,0)),"")</f>
        <v/>
      </c>
      <c r="E264" s="65" t="str">
        <f>IFERROR(INDEX(_Datos!E:E,MATCH(257,_Datos!$I:$I,0)),"")</f>
        <v/>
      </c>
      <c r="F264" s="63" t="str">
        <f>IFERROR(INDEX(_Datos!F:F,MATCH(257,_Datos!$I:$I,0)),"")</f>
        <v/>
      </c>
      <c r="G264" s="63" t="str">
        <f>IFERROR(INDEX(_Datos!G:G,MATCH(257,_Datos!$I:$I,0)),"")</f>
        <v/>
      </c>
      <c r="H264" s="66" t="str">
        <f>IFERROR(INDEX(_Datos!H:H,MATCH(257,_Datos!$I:$I,0)),"")</f>
        <v/>
      </c>
    </row>
    <row r="265" spans="1:8" x14ac:dyDescent="0.2">
      <c r="A265" s="67" t="str">
        <f>IFERROR(INDEX(_Datos!A:A,MATCH(258,_Datos!$I:$I,0)),"")</f>
        <v/>
      </c>
      <c r="B265" s="67" t="str">
        <f>IFERROR(INDEX(_Datos!B:B,MATCH(258,_Datos!$I:$I,0)),"")</f>
        <v/>
      </c>
      <c r="C265" s="67" t="str">
        <f>IFERROR(INDEX(_Datos!C:C,MATCH(258,_Datos!$I:$I,0)),"")</f>
        <v/>
      </c>
      <c r="D265" s="68" t="str">
        <f>IFERROR(INDEX(_Datos!D:D,MATCH(258,_Datos!$I:$I,0)),"")</f>
        <v/>
      </c>
      <c r="E265" s="69" t="str">
        <f>IFERROR(INDEX(_Datos!E:E,MATCH(258,_Datos!$I:$I,0)),"")</f>
        <v/>
      </c>
      <c r="F265" s="67" t="str">
        <f>IFERROR(INDEX(_Datos!F:F,MATCH(258,_Datos!$I:$I,0)),"")</f>
        <v/>
      </c>
      <c r="G265" s="67" t="str">
        <f>IFERROR(INDEX(_Datos!G:G,MATCH(258,_Datos!$I:$I,0)),"")</f>
        <v/>
      </c>
      <c r="H265" s="70" t="str">
        <f>IFERROR(INDEX(_Datos!H:H,MATCH(258,_Datos!$I:$I,0)),"")</f>
        <v/>
      </c>
    </row>
    <row r="266" spans="1:8" x14ac:dyDescent="0.2">
      <c r="A266" s="63" t="str">
        <f>IFERROR(INDEX(_Datos!A:A,MATCH(259,_Datos!$I:$I,0)),"")</f>
        <v/>
      </c>
      <c r="B266" s="63" t="str">
        <f>IFERROR(INDEX(_Datos!B:B,MATCH(259,_Datos!$I:$I,0)),"")</f>
        <v/>
      </c>
      <c r="C266" s="63" t="str">
        <f>IFERROR(INDEX(_Datos!C:C,MATCH(259,_Datos!$I:$I,0)),"")</f>
        <v/>
      </c>
      <c r="D266" s="64" t="str">
        <f>IFERROR(INDEX(_Datos!D:D,MATCH(259,_Datos!$I:$I,0)),"")</f>
        <v/>
      </c>
      <c r="E266" s="65" t="str">
        <f>IFERROR(INDEX(_Datos!E:E,MATCH(259,_Datos!$I:$I,0)),"")</f>
        <v/>
      </c>
      <c r="F266" s="63" t="str">
        <f>IFERROR(INDEX(_Datos!F:F,MATCH(259,_Datos!$I:$I,0)),"")</f>
        <v/>
      </c>
      <c r="G266" s="63" t="str">
        <f>IFERROR(INDEX(_Datos!G:G,MATCH(259,_Datos!$I:$I,0)),"")</f>
        <v/>
      </c>
      <c r="H266" s="66" t="str">
        <f>IFERROR(INDEX(_Datos!H:H,MATCH(259,_Datos!$I:$I,0)),"")</f>
        <v/>
      </c>
    </row>
    <row r="267" spans="1:8" x14ac:dyDescent="0.2">
      <c r="A267" s="67" t="str">
        <f>IFERROR(INDEX(_Datos!A:A,MATCH(260,_Datos!$I:$I,0)),"")</f>
        <v/>
      </c>
      <c r="B267" s="67" t="str">
        <f>IFERROR(INDEX(_Datos!B:B,MATCH(260,_Datos!$I:$I,0)),"")</f>
        <v/>
      </c>
      <c r="C267" s="67" t="str">
        <f>IFERROR(INDEX(_Datos!C:C,MATCH(260,_Datos!$I:$I,0)),"")</f>
        <v/>
      </c>
      <c r="D267" s="68" t="str">
        <f>IFERROR(INDEX(_Datos!D:D,MATCH(260,_Datos!$I:$I,0)),"")</f>
        <v/>
      </c>
      <c r="E267" s="69" t="str">
        <f>IFERROR(INDEX(_Datos!E:E,MATCH(260,_Datos!$I:$I,0)),"")</f>
        <v/>
      </c>
      <c r="F267" s="67" t="str">
        <f>IFERROR(INDEX(_Datos!F:F,MATCH(260,_Datos!$I:$I,0)),"")</f>
        <v/>
      </c>
      <c r="G267" s="67" t="str">
        <f>IFERROR(INDEX(_Datos!G:G,MATCH(260,_Datos!$I:$I,0)),"")</f>
        <v/>
      </c>
      <c r="H267" s="70" t="str">
        <f>IFERROR(INDEX(_Datos!H:H,MATCH(260,_Datos!$I:$I,0)),"")</f>
        <v/>
      </c>
    </row>
    <row r="268" spans="1:8" x14ac:dyDescent="0.2">
      <c r="A268" s="63" t="str">
        <f>IFERROR(INDEX(_Datos!A:A,MATCH(261,_Datos!$I:$I,0)),"")</f>
        <v/>
      </c>
      <c r="B268" s="63" t="str">
        <f>IFERROR(INDEX(_Datos!B:B,MATCH(261,_Datos!$I:$I,0)),"")</f>
        <v/>
      </c>
      <c r="C268" s="63" t="str">
        <f>IFERROR(INDEX(_Datos!C:C,MATCH(261,_Datos!$I:$I,0)),"")</f>
        <v/>
      </c>
      <c r="D268" s="64" t="str">
        <f>IFERROR(INDEX(_Datos!D:D,MATCH(261,_Datos!$I:$I,0)),"")</f>
        <v/>
      </c>
      <c r="E268" s="65" t="str">
        <f>IFERROR(INDEX(_Datos!E:E,MATCH(261,_Datos!$I:$I,0)),"")</f>
        <v/>
      </c>
      <c r="F268" s="63" t="str">
        <f>IFERROR(INDEX(_Datos!F:F,MATCH(261,_Datos!$I:$I,0)),"")</f>
        <v/>
      </c>
      <c r="G268" s="63" t="str">
        <f>IFERROR(INDEX(_Datos!G:G,MATCH(261,_Datos!$I:$I,0)),"")</f>
        <v/>
      </c>
      <c r="H268" s="66" t="str">
        <f>IFERROR(INDEX(_Datos!H:H,MATCH(261,_Datos!$I:$I,0)),"")</f>
        <v/>
      </c>
    </row>
    <row r="269" spans="1:8" x14ac:dyDescent="0.2">
      <c r="A269" s="67" t="str">
        <f>IFERROR(INDEX(_Datos!A:A,MATCH(262,_Datos!$I:$I,0)),"")</f>
        <v/>
      </c>
      <c r="B269" s="67" t="str">
        <f>IFERROR(INDEX(_Datos!B:B,MATCH(262,_Datos!$I:$I,0)),"")</f>
        <v/>
      </c>
      <c r="C269" s="67" t="str">
        <f>IFERROR(INDEX(_Datos!C:C,MATCH(262,_Datos!$I:$I,0)),"")</f>
        <v/>
      </c>
      <c r="D269" s="68" t="str">
        <f>IFERROR(INDEX(_Datos!D:D,MATCH(262,_Datos!$I:$I,0)),"")</f>
        <v/>
      </c>
      <c r="E269" s="69" t="str">
        <f>IFERROR(INDEX(_Datos!E:E,MATCH(262,_Datos!$I:$I,0)),"")</f>
        <v/>
      </c>
      <c r="F269" s="67" t="str">
        <f>IFERROR(INDEX(_Datos!F:F,MATCH(262,_Datos!$I:$I,0)),"")</f>
        <v/>
      </c>
      <c r="G269" s="67" t="str">
        <f>IFERROR(INDEX(_Datos!G:G,MATCH(262,_Datos!$I:$I,0)),"")</f>
        <v/>
      </c>
      <c r="H269" s="70" t="str">
        <f>IFERROR(INDEX(_Datos!H:H,MATCH(262,_Datos!$I:$I,0)),"")</f>
        <v/>
      </c>
    </row>
    <row r="270" spans="1:8" x14ac:dyDescent="0.2">
      <c r="A270" s="63" t="str">
        <f>IFERROR(INDEX(_Datos!A:A,MATCH(263,_Datos!$I:$I,0)),"")</f>
        <v/>
      </c>
      <c r="B270" s="63" t="str">
        <f>IFERROR(INDEX(_Datos!B:B,MATCH(263,_Datos!$I:$I,0)),"")</f>
        <v/>
      </c>
      <c r="C270" s="63" t="str">
        <f>IFERROR(INDEX(_Datos!C:C,MATCH(263,_Datos!$I:$I,0)),"")</f>
        <v/>
      </c>
      <c r="D270" s="64" t="str">
        <f>IFERROR(INDEX(_Datos!D:D,MATCH(263,_Datos!$I:$I,0)),"")</f>
        <v/>
      </c>
      <c r="E270" s="65" t="str">
        <f>IFERROR(INDEX(_Datos!E:E,MATCH(263,_Datos!$I:$I,0)),"")</f>
        <v/>
      </c>
      <c r="F270" s="63" t="str">
        <f>IFERROR(INDEX(_Datos!F:F,MATCH(263,_Datos!$I:$I,0)),"")</f>
        <v/>
      </c>
      <c r="G270" s="63" t="str">
        <f>IFERROR(INDEX(_Datos!G:G,MATCH(263,_Datos!$I:$I,0)),"")</f>
        <v/>
      </c>
      <c r="H270" s="66" t="str">
        <f>IFERROR(INDEX(_Datos!H:H,MATCH(263,_Datos!$I:$I,0)),"")</f>
        <v/>
      </c>
    </row>
    <row r="271" spans="1:8" x14ac:dyDescent="0.2">
      <c r="A271" s="67" t="str">
        <f>IFERROR(INDEX(_Datos!A:A,MATCH(264,_Datos!$I:$I,0)),"")</f>
        <v/>
      </c>
      <c r="B271" s="67" t="str">
        <f>IFERROR(INDEX(_Datos!B:B,MATCH(264,_Datos!$I:$I,0)),"")</f>
        <v/>
      </c>
      <c r="C271" s="67" t="str">
        <f>IFERROR(INDEX(_Datos!C:C,MATCH(264,_Datos!$I:$I,0)),"")</f>
        <v/>
      </c>
      <c r="D271" s="68" t="str">
        <f>IFERROR(INDEX(_Datos!D:D,MATCH(264,_Datos!$I:$I,0)),"")</f>
        <v/>
      </c>
      <c r="E271" s="69" t="str">
        <f>IFERROR(INDEX(_Datos!E:E,MATCH(264,_Datos!$I:$I,0)),"")</f>
        <v/>
      </c>
      <c r="F271" s="67" t="str">
        <f>IFERROR(INDEX(_Datos!F:F,MATCH(264,_Datos!$I:$I,0)),"")</f>
        <v/>
      </c>
      <c r="G271" s="67" t="str">
        <f>IFERROR(INDEX(_Datos!G:G,MATCH(264,_Datos!$I:$I,0)),"")</f>
        <v/>
      </c>
      <c r="H271" s="70" t="str">
        <f>IFERROR(INDEX(_Datos!H:H,MATCH(264,_Datos!$I:$I,0)),"")</f>
        <v/>
      </c>
    </row>
    <row r="272" spans="1:8" x14ac:dyDescent="0.2">
      <c r="A272" s="63" t="str">
        <f>IFERROR(INDEX(_Datos!A:A,MATCH(265,_Datos!$I:$I,0)),"")</f>
        <v/>
      </c>
      <c r="B272" s="63" t="str">
        <f>IFERROR(INDEX(_Datos!B:B,MATCH(265,_Datos!$I:$I,0)),"")</f>
        <v/>
      </c>
      <c r="C272" s="63" t="str">
        <f>IFERROR(INDEX(_Datos!C:C,MATCH(265,_Datos!$I:$I,0)),"")</f>
        <v/>
      </c>
      <c r="D272" s="64" t="str">
        <f>IFERROR(INDEX(_Datos!D:D,MATCH(265,_Datos!$I:$I,0)),"")</f>
        <v/>
      </c>
      <c r="E272" s="65" t="str">
        <f>IFERROR(INDEX(_Datos!E:E,MATCH(265,_Datos!$I:$I,0)),"")</f>
        <v/>
      </c>
      <c r="F272" s="63" t="str">
        <f>IFERROR(INDEX(_Datos!F:F,MATCH(265,_Datos!$I:$I,0)),"")</f>
        <v/>
      </c>
      <c r="G272" s="63" t="str">
        <f>IFERROR(INDEX(_Datos!G:G,MATCH(265,_Datos!$I:$I,0)),"")</f>
        <v/>
      </c>
      <c r="H272" s="66" t="str">
        <f>IFERROR(INDEX(_Datos!H:H,MATCH(265,_Datos!$I:$I,0)),"")</f>
        <v/>
      </c>
    </row>
    <row r="273" spans="1:8" x14ac:dyDescent="0.2">
      <c r="A273" s="67" t="str">
        <f>IFERROR(INDEX(_Datos!A:A,MATCH(266,_Datos!$I:$I,0)),"")</f>
        <v/>
      </c>
      <c r="B273" s="67" t="str">
        <f>IFERROR(INDEX(_Datos!B:B,MATCH(266,_Datos!$I:$I,0)),"")</f>
        <v/>
      </c>
      <c r="C273" s="67" t="str">
        <f>IFERROR(INDEX(_Datos!C:C,MATCH(266,_Datos!$I:$I,0)),"")</f>
        <v/>
      </c>
      <c r="D273" s="68" t="str">
        <f>IFERROR(INDEX(_Datos!D:D,MATCH(266,_Datos!$I:$I,0)),"")</f>
        <v/>
      </c>
      <c r="E273" s="69" t="str">
        <f>IFERROR(INDEX(_Datos!E:E,MATCH(266,_Datos!$I:$I,0)),"")</f>
        <v/>
      </c>
      <c r="F273" s="67" t="str">
        <f>IFERROR(INDEX(_Datos!F:F,MATCH(266,_Datos!$I:$I,0)),"")</f>
        <v/>
      </c>
      <c r="G273" s="67" t="str">
        <f>IFERROR(INDEX(_Datos!G:G,MATCH(266,_Datos!$I:$I,0)),"")</f>
        <v/>
      </c>
      <c r="H273" s="70" t="str">
        <f>IFERROR(INDEX(_Datos!H:H,MATCH(266,_Datos!$I:$I,0)),"")</f>
        <v/>
      </c>
    </row>
    <row r="274" spans="1:8" x14ac:dyDescent="0.2">
      <c r="A274" s="63" t="str">
        <f>IFERROR(INDEX(_Datos!A:A,MATCH(267,_Datos!$I:$I,0)),"")</f>
        <v/>
      </c>
      <c r="B274" s="63" t="str">
        <f>IFERROR(INDEX(_Datos!B:B,MATCH(267,_Datos!$I:$I,0)),"")</f>
        <v/>
      </c>
      <c r="C274" s="63" t="str">
        <f>IFERROR(INDEX(_Datos!C:C,MATCH(267,_Datos!$I:$I,0)),"")</f>
        <v/>
      </c>
      <c r="D274" s="64" t="str">
        <f>IFERROR(INDEX(_Datos!D:D,MATCH(267,_Datos!$I:$I,0)),"")</f>
        <v/>
      </c>
      <c r="E274" s="65" t="str">
        <f>IFERROR(INDEX(_Datos!E:E,MATCH(267,_Datos!$I:$I,0)),"")</f>
        <v/>
      </c>
      <c r="F274" s="63" t="str">
        <f>IFERROR(INDEX(_Datos!F:F,MATCH(267,_Datos!$I:$I,0)),"")</f>
        <v/>
      </c>
      <c r="G274" s="63" t="str">
        <f>IFERROR(INDEX(_Datos!G:G,MATCH(267,_Datos!$I:$I,0)),"")</f>
        <v/>
      </c>
      <c r="H274" s="66" t="str">
        <f>IFERROR(INDEX(_Datos!H:H,MATCH(267,_Datos!$I:$I,0)),"")</f>
        <v/>
      </c>
    </row>
    <row r="275" spans="1:8" x14ac:dyDescent="0.2">
      <c r="A275" s="67" t="str">
        <f>IFERROR(INDEX(_Datos!A:A,MATCH(268,_Datos!$I:$I,0)),"")</f>
        <v/>
      </c>
      <c r="B275" s="67" t="str">
        <f>IFERROR(INDEX(_Datos!B:B,MATCH(268,_Datos!$I:$I,0)),"")</f>
        <v/>
      </c>
      <c r="C275" s="67" t="str">
        <f>IFERROR(INDEX(_Datos!C:C,MATCH(268,_Datos!$I:$I,0)),"")</f>
        <v/>
      </c>
      <c r="D275" s="68" t="str">
        <f>IFERROR(INDEX(_Datos!D:D,MATCH(268,_Datos!$I:$I,0)),"")</f>
        <v/>
      </c>
      <c r="E275" s="69" t="str">
        <f>IFERROR(INDEX(_Datos!E:E,MATCH(268,_Datos!$I:$I,0)),"")</f>
        <v/>
      </c>
      <c r="F275" s="67" t="str">
        <f>IFERROR(INDEX(_Datos!F:F,MATCH(268,_Datos!$I:$I,0)),"")</f>
        <v/>
      </c>
      <c r="G275" s="67" t="str">
        <f>IFERROR(INDEX(_Datos!G:G,MATCH(268,_Datos!$I:$I,0)),"")</f>
        <v/>
      </c>
      <c r="H275" s="70" t="str">
        <f>IFERROR(INDEX(_Datos!H:H,MATCH(268,_Datos!$I:$I,0)),"")</f>
        <v/>
      </c>
    </row>
    <row r="276" spans="1:8" x14ac:dyDescent="0.2">
      <c r="A276" s="63" t="str">
        <f>IFERROR(INDEX(_Datos!A:A,MATCH(269,_Datos!$I:$I,0)),"")</f>
        <v/>
      </c>
      <c r="B276" s="63" t="str">
        <f>IFERROR(INDEX(_Datos!B:B,MATCH(269,_Datos!$I:$I,0)),"")</f>
        <v/>
      </c>
      <c r="C276" s="63" t="str">
        <f>IFERROR(INDEX(_Datos!C:C,MATCH(269,_Datos!$I:$I,0)),"")</f>
        <v/>
      </c>
      <c r="D276" s="64" t="str">
        <f>IFERROR(INDEX(_Datos!D:D,MATCH(269,_Datos!$I:$I,0)),"")</f>
        <v/>
      </c>
      <c r="E276" s="65" t="str">
        <f>IFERROR(INDEX(_Datos!E:E,MATCH(269,_Datos!$I:$I,0)),"")</f>
        <v/>
      </c>
      <c r="F276" s="63" t="str">
        <f>IFERROR(INDEX(_Datos!F:F,MATCH(269,_Datos!$I:$I,0)),"")</f>
        <v/>
      </c>
      <c r="G276" s="63" t="str">
        <f>IFERROR(INDEX(_Datos!G:G,MATCH(269,_Datos!$I:$I,0)),"")</f>
        <v/>
      </c>
      <c r="H276" s="66" t="str">
        <f>IFERROR(INDEX(_Datos!H:H,MATCH(269,_Datos!$I:$I,0)),"")</f>
        <v/>
      </c>
    </row>
    <row r="277" spans="1:8" x14ac:dyDescent="0.2">
      <c r="A277" s="67" t="str">
        <f>IFERROR(INDEX(_Datos!A:A,MATCH(270,_Datos!$I:$I,0)),"")</f>
        <v/>
      </c>
      <c r="B277" s="67" t="str">
        <f>IFERROR(INDEX(_Datos!B:B,MATCH(270,_Datos!$I:$I,0)),"")</f>
        <v/>
      </c>
      <c r="C277" s="67" t="str">
        <f>IFERROR(INDEX(_Datos!C:C,MATCH(270,_Datos!$I:$I,0)),"")</f>
        <v/>
      </c>
      <c r="D277" s="68" t="str">
        <f>IFERROR(INDEX(_Datos!D:D,MATCH(270,_Datos!$I:$I,0)),"")</f>
        <v/>
      </c>
      <c r="E277" s="69" t="str">
        <f>IFERROR(INDEX(_Datos!E:E,MATCH(270,_Datos!$I:$I,0)),"")</f>
        <v/>
      </c>
      <c r="F277" s="67" t="str">
        <f>IFERROR(INDEX(_Datos!F:F,MATCH(270,_Datos!$I:$I,0)),"")</f>
        <v/>
      </c>
      <c r="G277" s="67" t="str">
        <f>IFERROR(INDEX(_Datos!G:G,MATCH(270,_Datos!$I:$I,0)),"")</f>
        <v/>
      </c>
      <c r="H277" s="70" t="str">
        <f>IFERROR(INDEX(_Datos!H:H,MATCH(270,_Datos!$I:$I,0)),"")</f>
        <v/>
      </c>
    </row>
    <row r="278" spans="1:8" x14ac:dyDescent="0.2">
      <c r="A278" s="63" t="str">
        <f>IFERROR(INDEX(_Datos!A:A,MATCH(271,_Datos!$I:$I,0)),"")</f>
        <v/>
      </c>
      <c r="B278" s="63" t="str">
        <f>IFERROR(INDEX(_Datos!B:B,MATCH(271,_Datos!$I:$I,0)),"")</f>
        <v/>
      </c>
      <c r="C278" s="63" t="str">
        <f>IFERROR(INDEX(_Datos!C:C,MATCH(271,_Datos!$I:$I,0)),"")</f>
        <v/>
      </c>
      <c r="D278" s="64" t="str">
        <f>IFERROR(INDEX(_Datos!D:D,MATCH(271,_Datos!$I:$I,0)),"")</f>
        <v/>
      </c>
      <c r="E278" s="65" t="str">
        <f>IFERROR(INDEX(_Datos!E:E,MATCH(271,_Datos!$I:$I,0)),"")</f>
        <v/>
      </c>
      <c r="F278" s="63" t="str">
        <f>IFERROR(INDEX(_Datos!F:F,MATCH(271,_Datos!$I:$I,0)),"")</f>
        <v/>
      </c>
      <c r="G278" s="63" t="str">
        <f>IFERROR(INDEX(_Datos!G:G,MATCH(271,_Datos!$I:$I,0)),"")</f>
        <v/>
      </c>
      <c r="H278" s="66" t="str">
        <f>IFERROR(INDEX(_Datos!H:H,MATCH(271,_Datos!$I:$I,0)),"")</f>
        <v/>
      </c>
    </row>
    <row r="279" spans="1:8" x14ac:dyDescent="0.2">
      <c r="A279" s="67" t="str">
        <f>IFERROR(INDEX(_Datos!A:A,MATCH(272,_Datos!$I:$I,0)),"")</f>
        <v/>
      </c>
      <c r="B279" s="67" t="str">
        <f>IFERROR(INDEX(_Datos!B:B,MATCH(272,_Datos!$I:$I,0)),"")</f>
        <v/>
      </c>
      <c r="C279" s="67" t="str">
        <f>IFERROR(INDEX(_Datos!C:C,MATCH(272,_Datos!$I:$I,0)),"")</f>
        <v/>
      </c>
      <c r="D279" s="68" t="str">
        <f>IFERROR(INDEX(_Datos!D:D,MATCH(272,_Datos!$I:$I,0)),"")</f>
        <v/>
      </c>
      <c r="E279" s="69" t="str">
        <f>IFERROR(INDEX(_Datos!E:E,MATCH(272,_Datos!$I:$I,0)),"")</f>
        <v/>
      </c>
      <c r="F279" s="67" t="str">
        <f>IFERROR(INDEX(_Datos!F:F,MATCH(272,_Datos!$I:$I,0)),"")</f>
        <v/>
      </c>
      <c r="G279" s="67" t="str">
        <f>IFERROR(INDEX(_Datos!G:G,MATCH(272,_Datos!$I:$I,0)),"")</f>
        <v/>
      </c>
      <c r="H279" s="70" t="str">
        <f>IFERROR(INDEX(_Datos!H:H,MATCH(272,_Datos!$I:$I,0)),"")</f>
        <v/>
      </c>
    </row>
    <row r="280" spans="1:8" x14ac:dyDescent="0.2">
      <c r="A280" s="63" t="str">
        <f>IFERROR(INDEX(_Datos!A:A,MATCH(273,_Datos!$I:$I,0)),"")</f>
        <v/>
      </c>
      <c r="B280" s="63" t="str">
        <f>IFERROR(INDEX(_Datos!B:B,MATCH(273,_Datos!$I:$I,0)),"")</f>
        <v/>
      </c>
      <c r="C280" s="63" t="str">
        <f>IFERROR(INDEX(_Datos!C:C,MATCH(273,_Datos!$I:$I,0)),"")</f>
        <v/>
      </c>
      <c r="D280" s="64" t="str">
        <f>IFERROR(INDEX(_Datos!D:D,MATCH(273,_Datos!$I:$I,0)),"")</f>
        <v/>
      </c>
      <c r="E280" s="65" t="str">
        <f>IFERROR(INDEX(_Datos!E:E,MATCH(273,_Datos!$I:$I,0)),"")</f>
        <v/>
      </c>
      <c r="F280" s="63" t="str">
        <f>IFERROR(INDEX(_Datos!F:F,MATCH(273,_Datos!$I:$I,0)),"")</f>
        <v/>
      </c>
      <c r="G280" s="63" t="str">
        <f>IFERROR(INDEX(_Datos!G:G,MATCH(273,_Datos!$I:$I,0)),"")</f>
        <v/>
      </c>
      <c r="H280" s="66" t="str">
        <f>IFERROR(INDEX(_Datos!H:H,MATCH(273,_Datos!$I:$I,0)),"")</f>
        <v/>
      </c>
    </row>
    <row r="281" spans="1:8" x14ac:dyDescent="0.2">
      <c r="A281" s="67" t="str">
        <f>IFERROR(INDEX(_Datos!A:A,MATCH(274,_Datos!$I:$I,0)),"")</f>
        <v/>
      </c>
      <c r="B281" s="67" t="str">
        <f>IFERROR(INDEX(_Datos!B:B,MATCH(274,_Datos!$I:$I,0)),"")</f>
        <v/>
      </c>
      <c r="C281" s="67" t="str">
        <f>IFERROR(INDEX(_Datos!C:C,MATCH(274,_Datos!$I:$I,0)),"")</f>
        <v/>
      </c>
      <c r="D281" s="68" t="str">
        <f>IFERROR(INDEX(_Datos!D:D,MATCH(274,_Datos!$I:$I,0)),"")</f>
        <v/>
      </c>
      <c r="E281" s="69" t="str">
        <f>IFERROR(INDEX(_Datos!E:E,MATCH(274,_Datos!$I:$I,0)),"")</f>
        <v/>
      </c>
      <c r="F281" s="67" t="str">
        <f>IFERROR(INDEX(_Datos!F:F,MATCH(274,_Datos!$I:$I,0)),"")</f>
        <v/>
      </c>
      <c r="G281" s="67" t="str">
        <f>IFERROR(INDEX(_Datos!G:G,MATCH(274,_Datos!$I:$I,0)),"")</f>
        <v/>
      </c>
      <c r="H281" s="70" t="str">
        <f>IFERROR(INDEX(_Datos!H:H,MATCH(274,_Datos!$I:$I,0)),"")</f>
        <v/>
      </c>
    </row>
    <row r="282" spans="1:8" x14ac:dyDescent="0.2">
      <c r="A282" s="63" t="str">
        <f>IFERROR(INDEX(_Datos!A:A,MATCH(275,_Datos!$I:$I,0)),"")</f>
        <v/>
      </c>
      <c r="B282" s="63" t="str">
        <f>IFERROR(INDEX(_Datos!B:B,MATCH(275,_Datos!$I:$I,0)),"")</f>
        <v/>
      </c>
      <c r="C282" s="63" t="str">
        <f>IFERROR(INDEX(_Datos!C:C,MATCH(275,_Datos!$I:$I,0)),"")</f>
        <v/>
      </c>
      <c r="D282" s="64" t="str">
        <f>IFERROR(INDEX(_Datos!D:D,MATCH(275,_Datos!$I:$I,0)),"")</f>
        <v/>
      </c>
      <c r="E282" s="65" t="str">
        <f>IFERROR(INDEX(_Datos!E:E,MATCH(275,_Datos!$I:$I,0)),"")</f>
        <v/>
      </c>
      <c r="F282" s="63" t="str">
        <f>IFERROR(INDEX(_Datos!F:F,MATCH(275,_Datos!$I:$I,0)),"")</f>
        <v/>
      </c>
      <c r="G282" s="63" t="str">
        <f>IFERROR(INDEX(_Datos!G:G,MATCH(275,_Datos!$I:$I,0)),"")</f>
        <v/>
      </c>
      <c r="H282" s="66" t="str">
        <f>IFERROR(INDEX(_Datos!H:H,MATCH(275,_Datos!$I:$I,0)),"")</f>
        <v/>
      </c>
    </row>
    <row r="283" spans="1:8" x14ac:dyDescent="0.2">
      <c r="A283" s="67" t="str">
        <f>IFERROR(INDEX(_Datos!A:A,MATCH(276,_Datos!$I:$I,0)),"")</f>
        <v/>
      </c>
      <c r="B283" s="67" t="str">
        <f>IFERROR(INDEX(_Datos!B:B,MATCH(276,_Datos!$I:$I,0)),"")</f>
        <v/>
      </c>
      <c r="C283" s="67" t="str">
        <f>IFERROR(INDEX(_Datos!C:C,MATCH(276,_Datos!$I:$I,0)),"")</f>
        <v/>
      </c>
      <c r="D283" s="68" t="str">
        <f>IFERROR(INDEX(_Datos!D:D,MATCH(276,_Datos!$I:$I,0)),"")</f>
        <v/>
      </c>
      <c r="E283" s="69" t="str">
        <f>IFERROR(INDEX(_Datos!E:E,MATCH(276,_Datos!$I:$I,0)),"")</f>
        <v/>
      </c>
      <c r="F283" s="67" t="str">
        <f>IFERROR(INDEX(_Datos!F:F,MATCH(276,_Datos!$I:$I,0)),"")</f>
        <v/>
      </c>
      <c r="G283" s="67" t="str">
        <f>IFERROR(INDEX(_Datos!G:G,MATCH(276,_Datos!$I:$I,0)),"")</f>
        <v/>
      </c>
      <c r="H283" s="70" t="str">
        <f>IFERROR(INDEX(_Datos!H:H,MATCH(276,_Datos!$I:$I,0)),"")</f>
        <v/>
      </c>
    </row>
    <row r="284" spans="1:8" x14ac:dyDescent="0.2">
      <c r="A284" s="63" t="str">
        <f>IFERROR(INDEX(_Datos!A:A,MATCH(277,_Datos!$I:$I,0)),"")</f>
        <v/>
      </c>
      <c r="B284" s="63" t="str">
        <f>IFERROR(INDEX(_Datos!B:B,MATCH(277,_Datos!$I:$I,0)),"")</f>
        <v/>
      </c>
      <c r="C284" s="63" t="str">
        <f>IFERROR(INDEX(_Datos!C:C,MATCH(277,_Datos!$I:$I,0)),"")</f>
        <v/>
      </c>
      <c r="D284" s="64" t="str">
        <f>IFERROR(INDEX(_Datos!D:D,MATCH(277,_Datos!$I:$I,0)),"")</f>
        <v/>
      </c>
      <c r="E284" s="65" t="str">
        <f>IFERROR(INDEX(_Datos!E:E,MATCH(277,_Datos!$I:$I,0)),"")</f>
        <v/>
      </c>
      <c r="F284" s="63" t="str">
        <f>IFERROR(INDEX(_Datos!F:F,MATCH(277,_Datos!$I:$I,0)),"")</f>
        <v/>
      </c>
      <c r="G284" s="63" t="str">
        <f>IFERROR(INDEX(_Datos!G:G,MATCH(277,_Datos!$I:$I,0)),"")</f>
        <v/>
      </c>
      <c r="H284" s="66" t="str">
        <f>IFERROR(INDEX(_Datos!H:H,MATCH(277,_Datos!$I:$I,0)),"")</f>
        <v/>
      </c>
    </row>
    <row r="285" spans="1:8" x14ac:dyDescent="0.2">
      <c r="A285" s="67" t="str">
        <f>IFERROR(INDEX(_Datos!A:A,MATCH(278,_Datos!$I:$I,0)),"")</f>
        <v/>
      </c>
      <c r="B285" s="67" t="str">
        <f>IFERROR(INDEX(_Datos!B:B,MATCH(278,_Datos!$I:$I,0)),"")</f>
        <v/>
      </c>
      <c r="C285" s="67" t="str">
        <f>IFERROR(INDEX(_Datos!C:C,MATCH(278,_Datos!$I:$I,0)),"")</f>
        <v/>
      </c>
      <c r="D285" s="68" t="str">
        <f>IFERROR(INDEX(_Datos!D:D,MATCH(278,_Datos!$I:$I,0)),"")</f>
        <v/>
      </c>
      <c r="E285" s="69" t="str">
        <f>IFERROR(INDEX(_Datos!E:E,MATCH(278,_Datos!$I:$I,0)),"")</f>
        <v/>
      </c>
      <c r="F285" s="67" t="str">
        <f>IFERROR(INDEX(_Datos!F:F,MATCH(278,_Datos!$I:$I,0)),"")</f>
        <v/>
      </c>
      <c r="G285" s="67" t="str">
        <f>IFERROR(INDEX(_Datos!G:G,MATCH(278,_Datos!$I:$I,0)),"")</f>
        <v/>
      </c>
      <c r="H285" s="70" t="str">
        <f>IFERROR(INDEX(_Datos!H:H,MATCH(278,_Datos!$I:$I,0)),"")</f>
        <v/>
      </c>
    </row>
    <row r="286" spans="1:8" x14ac:dyDescent="0.2">
      <c r="A286" s="63" t="str">
        <f>IFERROR(INDEX(_Datos!A:A,MATCH(279,_Datos!$I:$I,0)),"")</f>
        <v/>
      </c>
      <c r="B286" s="63" t="str">
        <f>IFERROR(INDEX(_Datos!B:B,MATCH(279,_Datos!$I:$I,0)),"")</f>
        <v/>
      </c>
      <c r="C286" s="63" t="str">
        <f>IFERROR(INDEX(_Datos!C:C,MATCH(279,_Datos!$I:$I,0)),"")</f>
        <v/>
      </c>
      <c r="D286" s="64" t="str">
        <f>IFERROR(INDEX(_Datos!D:D,MATCH(279,_Datos!$I:$I,0)),"")</f>
        <v/>
      </c>
      <c r="E286" s="65" t="str">
        <f>IFERROR(INDEX(_Datos!E:E,MATCH(279,_Datos!$I:$I,0)),"")</f>
        <v/>
      </c>
      <c r="F286" s="63" t="str">
        <f>IFERROR(INDEX(_Datos!F:F,MATCH(279,_Datos!$I:$I,0)),"")</f>
        <v/>
      </c>
      <c r="G286" s="63" t="str">
        <f>IFERROR(INDEX(_Datos!G:G,MATCH(279,_Datos!$I:$I,0)),"")</f>
        <v/>
      </c>
      <c r="H286" s="66" t="str">
        <f>IFERROR(INDEX(_Datos!H:H,MATCH(279,_Datos!$I:$I,0)),"")</f>
        <v/>
      </c>
    </row>
    <row r="287" spans="1:8" x14ac:dyDescent="0.2">
      <c r="A287" s="67" t="str">
        <f>IFERROR(INDEX(_Datos!A:A,MATCH(280,_Datos!$I:$I,0)),"")</f>
        <v/>
      </c>
      <c r="B287" s="67" t="str">
        <f>IFERROR(INDEX(_Datos!B:B,MATCH(280,_Datos!$I:$I,0)),"")</f>
        <v/>
      </c>
      <c r="C287" s="67" t="str">
        <f>IFERROR(INDEX(_Datos!C:C,MATCH(280,_Datos!$I:$I,0)),"")</f>
        <v/>
      </c>
      <c r="D287" s="68" t="str">
        <f>IFERROR(INDEX(_Datos!D:D,MATCH(280,_Datos!$I:$I,0)),"")</f>
        <v/>
      </c>
      <c r="E287" s="69" t="str">
        <f>IFERROR(INDEX(_Datos!E:E,MATCH(280,_Datos!$I:$I,0)),"")</f>
        <v/>
      </c>
      <c r="F287" s="67" t="str">
        <f>IFERROR(INDEX(_Datos!F:F,MATCH(280,_Datos!$I:$I,0)),"")</f>
        <v/>
      </c>
      <c r="G287" s="67" t="str">
        <f>IFERROR(INDEX(_Datos!G:G,MATCH(280,_Datos!$I:$I,0)),"")</f>
        <v/>
      </c>
      <c r="H287" s="70" t="str">
        <f>IFERROR(INDEX(_Datos!H:H,MATCH(280,_Datos!$I:$I,0)),"")</f>
        <v/>
      </c>
    </row>
    <row r="288" spans="1:8" x14ac:dyDescent="0.2">
      <c r="A288" s="63" t="str">
        <f>IFERROR(INDEX(_Datos!A:A,MATCH(281,_Datos!$I:$I,0)),"")</f>
        <v/>
      </c>
      <c r="B288" s="63" t="str">
        <f>IFERROR(INDEX(_Datos!B:B,MATCH(281,_Datos!$I:$I,0)),"")</f>
        <v/>
      </c>
      <c r="C288" s="63" t="str">
        <f>IFERROR(INDEX(_Datos!C:C,MATCH(281,_Datos!$I:$I,0)),"")</f>
        <v/>
      </c>
      <c r="D288" s="64" t="str">
        <f>IFERROR(INDEX(_Datos!D:D,MATCH(281,_Datos!$I:$I,0)),"")</f>
        <v/>
      </c>
      <c r="E288" s="65" t="str">
        <f>IFERROR(INDEX(_Datos!E:E,MATCH(281,_Datos!$I:$I,0)),"")</f>
        <v/>
      </c>
      <c r="F288" s="63" t="str">
        <f>IFERROR(INDEX(_Datos!F:F,MATCH(281,_Datos!$I:$I,0)),"")</f>
        <v/>
      </c>
      <c r="G288" s="63" t="str">
        <f>IFERROR(INDEX(_Datos!G:G,MATCH(281,_Datos!$I:$I,0)),"")</f>
        <v/>
      </c>
      <c r="H288" s="66" t="str">
        <f>IFERROR(INDEX(_Datos!H:H,MATCH(281,_Datos!$I:$I,0)),"")</f>
        <v/>
      </c>
    </row>
    <row r="289" spans="1:8" x14ac:dyDescent="0.2">
      <c r="A289" s="67" t="str">
        <f>IFERROR(INDEX(_Datos!A:A,MATCH(282,_Datos!$I:$I,0)),"")</f>
        <v/>
      </c>
      <c r="B289" s="67" t="str">
        <f>IFERROR(INDEX(_Datos!B:B,MATCH(282,_Datos!$I:$I,0)),"")</f>
        <v/>
      </c>
      <c r="C289" s="67" t="str">
        <f>IFERROR(INDEX(_Datos!C:C,MATCH(282,_Datos!$I:$I,0)),"")</f>
        <v/>
      </c>
      <c r="D289" s="68" t="str">
        <f>IFERROR(INDEX(_Datos!D:D,MATCH(282,_Datos!$I:$I,0)),"")</f>
        <v/>
      </c>
      <c r="E289" s="69" t="str">
        <f>IFERROR(INDEX(_Datos!E:E,MATCH(282,_Datos!$I:$I,0)),"")</f>
        <v/>
      </c>
      <c r="F289" s="67" t="str">
        <f>IFERROR(INDEX(_Datos!F:F,MATCH(282,_Datos!$I:$I,0)),"")</f>
        <v/>
      </c>
      <c r="G289" s="67" t="str">
        <f>IFERROR(INDEX(_Datos!G:G,MATCH(282,_Datos!$I:$I,0)),"")</f>
        <v/>
      </c>
      <c r="H289" s="70" t="str">
        <f>IFERROR(INDEX(_Datos!H:H,MATCH(282,_Datos!$I:$I,0)),"")</f>
        <v/>
      </c>
    </row>
    <row r="290" spans="1:8" x14ac:dyDescent="0.2">
      <c r="A290" s="63" t="str">
        <f>IFERROR(INDEX(_Datos!A:A,MATCH(283,_Datos!$I:$I,0)),"")</f>
        <v/>
      </c>
      <c r="B290" s="63" t="str">
        <f>IFERROR(INDEX(_Datos!B:B,MATCH(283,_Datos!$I:$I,0)),"")</f>
        <v/>
      </c>
      <c r="C290" s="63" t="str">
        <f>IFERROR(INDEX(_Datos!C:C,MATCH(283,_Datos!$I:$I,0)),"")</f>
        <v/>
      </c>
      <c r="D290" s="64" t="str">
        <f>IFERROR(INDEX(_Datos!D:D,MATCH(283,_Datos!$I:$I,0)),"")</f>
        <v/>
      </c>
      <c r="E290" s="65" t="str">
        <f>IFERROR(INDEX(_Datos!E:E,MATCH(283,_Datos!$I:$I,0)),"")</f>
        <v/>
      </c>
      <c r="F290" s="63" t="str">
        <f>IFERROR(INDEX(_Datos!F:F,MATCH(283,_Datos!$I:$I,0)),"")</f>
        <v/>
      </c>
      <c r="G290" s="63" t="str">
        <f>IFERROR(INDEX(_Datos!G:G,MATCH(283,_Datos!$I:$I,0)),"")</f>
        <v/>
      </c>
      <c r="H290" s="66" t="str">
        <f>IFERROR(INDEX(_Datos!H:H,MATCH(283,_Datos!$I:$I,0)),"")</f>
        <v/>
      </c>
    </row>
    <row r="291" spans="1:8" x14ac:dyDescent="0.2">
      <c r="A291" s="67" t="str">
        <f>IFERROR(INDEX(_Datos!A:A,MATCH(284,_Datos!$I:$I,0)),"")</f>
        <v/>
      </c>
      <c r="B291" s="67" t="str">
        <f>IFERROR(INDEX(_Datos!B:B,MATCH(284,_Datos!$I:$I,0)),"")</f>
        <v/>
      </c>
      <c r="C291" s="67" t="str">
        <f>IFERROR(INDEX(_Datos!C:C,MATCH(284,_Datos!$I:$I,0)),"")</f>
        <v/>
      </c>
      <c r="D291" s="68" t="str">
        <f>IFERROR(INDEX(_Datos!D:D,MATCH(284,_Datos!$I:$I,0)),"")</f>
        <v/>
      </c>
      <c r="E291" s="69" t="str">
        <f>IFERROR(INDEX(_Datos!E:E,MATCH(284,_Datos!$I:$I,0)),"")</f>
        <v/>
      </c>
      <c r="F291" s="67" t="str">
        <f>IFERROR(INDEX(_Datos!F:F,MATCH(284,_Datos!$I:$I,0)),"")</f>
        <v/>
      </c>
      <c r="G291" s="67" t="str">
        <f>IFERROR(INDEX(_Datos!G:G,MATCH(284,_Datos!$I:$I,0)),"")</f>
        <v/>
      </c>
      <c r="H291" s="70" t="str">
        <f>IFERROR(INDEX(_Datos!H:H,MATCH(284,_Datos!$I:$I,0)),"")</f>
        <v/>
      </c>
    </row>
    <row r="292" spans="1:8" x14ac:dyDescent="0.2">
      <c r="A292" s="63" t="str">
        <f>IFERROR(INDEX(_Datos!A:A,MATCH(285,_Datos!$I:$I,0)),"")</f>
        <v/>
      </c>
      <c r="B292" s="63" t="str">
        <f>IFERROR(INDEX(_Datos!B:B,MATCH(285,_Datos!$I:$I,0)),"")</f>
        <v/>
      </c>
      <c r="C292" s="63" t="str">
        <f>IFERROR(INDEX(_Datos!C:C,MATCH(285,_Datos!$I:$I,0)),"")</f>
        <v/>
      </c>
      <c r="D292" s="64" t="str">
        <f>IFERROR(INDEX(_Datos!D:D,MATCH(285,_Datos!$I:$I,0)),"")</f>
        <v/>
      </c>
      <c r="E292" s="65" t="str">
        <f>IFERROR(INDEX(_Datos!E:E,MATCH(285,_Datos!$I:$I,0)),"")</f>
        <v/>
      </c>
      <c r="F292" s="63" t="str">
        <f>IFERROR(INDEX(_Datos!F:F,MATCH(285,_Datos!$I:$I,0)),"")</f>
        <v/>
      </c>
      <c r="G292" s="63" t="str">
        <f>IFERROR(INDEX(_Datos!G:G,MATCH(285,_Datos!$I:$I,0)),"")</f>
        <v/>
      </c>
      <c r="H292" s="66" t="str">
        <f>IFERROR(INDEX(_Datos!H:H,MATCH(285,_Datos!$I:$I,0)),"")</f>
        <v/>
      </c>
    </row>
    <row r="293" spans="1:8" x14ac:dyDescent="0.2">
      <c r="A293" s="67" t="str">
        <f>IFERROR(INDEX(_Datos!A:A,MATCH(286,_Datos!$I:$I,0)),"")</f>
        <v/>
      </c>
      <c r="B293" s="67" t="str">
        <f>IFERROR(INDEX(_Datos!B:B,MATCH(286,_Datos!$I:$I,0)),"")</f>
        <v/>
      </c>
      <c r="C293" s="67" t="str">
        <f>IFERROR(INDEX(_Datos!C:C,MATCH(286,_Datos!$I:$I,0)),"")</f>
        <v/>
      </c>
      <c r="D293" s="68" t="str">
        <f>IFERROR(INDEX(_Datos!D:D,MATCH(286,_Datos!$I:$I,0)),"")</f>
        <v/>
      </c>
      <c r="E293" s="69" t="str">
        <f>IFERROR(INDEX(_Datos!E:E,MATCH(286,_Datos!$I:$I,0)),"")</f>
        <v/>
      </c>
      <c r="F293" s="67" t="str">
        <f>IFERROR(INDEX(_Datos!F:F,MATCH(286,_Datos!$I:$I,0)),"")</f>
        <v/>
      </c>
      <c r="G293" s="67" t="str">
        <f>IFERROR(INDEX(_Datos!G:G,MATCH(286,_Datos!$I:$I,0)),"")</f>
        <v/>
      </c>
      <c r="H293" s="70" t="str">
        <f>IFERROR(INDEX(_Datos!H:H,MATCH(286,_Datos!$I:$I,0)),"")</f>
        <v/>
      </c>
    </row>
    <row r="294" spans="1:8" x14ac:dyDescent="0.2">
      <c r="A294" s="63" t="str">
        <f>IFERROR(INDEX(_Datos!A:A,MATCH(287,_Datos!$I:$I,0)),"")</f>
        <v/>
      </c>
      <c r="B294" s="63" t="str">
        <f>IFERROR(INDEX(_Datos!B:B,MATCH(287,_Datos!$I:$I,0)),"")</f>
        <v/>
      </c>
      <c r="C294" s="63" t="str">
        <f>IFERROR(INDEX(_Datos!C:C,MATCH(287,_Datos!$I:$I,0)),"")</f>
        <v/>
      </c>
      <c r="D294" s="64" t="str">
        <f>IFERROR(INDEX(_Datos!D:D,MATCH(287,_Datos!$I:$I,0)),"")</f>
        <v/>
      </c>
      <c r="E294" s="65" t="str">
        <f>IFERROR(INDEX(_Datos!E:E,MATCH(287,_Datos!$I:$I,0)),"")</f>
        <v/>
      </c>
      <c r="F294" s="63" t="str">
        <f>IFERROR(INDEX(_Datos!F:F,MATCH(287,_Datos!$I:$I,0)),"")</f>
        <v/>
      </c>
      <c r="G294" s="63" t="str">
        <f>IFERROR(INDEX(_Datos!G:G,MATCH(287,_Datos!$I:$I,0)),"")</f>
        <v/>
      </c>
      <c r="H294" s="66" t="str">
        <f>IFERROR(INDEX(_Datos!H:H,MATCH(287,_Datos!$I:$I,0)),"")</f>
        <v/>
      </c>
    </row>
    <row r="295" spans="1:8" x14ac:dyDescent="0.2">
      <c r="A295" s="67" t="str">
        <f>IFERROR(INDEX(_Datos!A:A,MATCH(288,_Datos!$I:$I,0)),"")</f>
        <v/>
      </c>
      <c r="B295" s="67" t="str">
        <f>IFERROR(INDEX(_Datos!B:B,MATCH(288,_Datos!$I:$I,0)),"")</f>
        <v/>
      </c>
      <c r="C295" s="67" t="str">
        <f>IFERROR(INDEX(_Datos!C:C,MATCH(288,_Datos!$I:$I,0)),"")</f>
        <v/>
      </c>
      <c r="D295" s="68" t="str">
        <f>IFERROR(INDEX(_Datos!D:D,MATCH(288,_Datos!$I:$I,0)),"")</f>
        <v/>
      </c>
      <c r="E295" s="69" t="str">
        <f>IFERROR(INDEX(_Datos!E:E,MATCH(288,_Datos!$I:$I,0)),"")</f>
        <v/>
      </c>
      <c r="F295" s="67" t="str">
        <f>IFERROR(INDEX(_Datos!F:F,MATCH(288,_Datos!$I:$I,0)),"")</f>
        <v/>
      </c>
      <c r="G295" s="67" t="str">
        <f>IFERROR(INDEX(_Datos!G:G,MATCH(288,_Datos!$I:$I,0)),"")</f>
        <v/>
      </c>
      <c r="H295" s="70" t="str">
        <f>IFERROR(INDEX(_Datos!H:H,MATCH(288,_Datos!$I:$I,0)),"")</f>
        <v/>
      </c>
    </row>
    <row r="296" spans="1:8" x14ac:dyDescent="0.2">
      <c r="A296" s="63" t="str">
        <f>IFERROR(INDEX(_Datos!A:A,MATCH(289,_Datos!$I:$I,0)),"")</f>
        <v/>
      </c>
      <c r="B296" s="63" t="str">
        <f>IFERROR(INDEX(_Datos!B:B,MATCH(289,_Datos!$I:$I,0)),"")</f>
        <v/>
      </c>
      <c r="C296" s="63" t="str">
        <f>IFERROR(INDEX(_Datos!C:C,MATCH(289,_Datos!$I:$I,0)),"")</f>
        <v/>
      </c>
      <c r="D296" s="64" t="str">
        <f>IFERROR(INDEX(_Datos!D:D,MATCH(289,_Datos!$I:$I,0)),"")</f>
        <v/>
      </c>
      <c r="E296" s="65" t="str">
        <f>IFERROR(INDEX(_Datos!E:E,MATCH(289,_Datos!$I:$I,0)),"")</f>
        <v/>
      </c>
      <c r="F296" s="63" t="str">
        <f>IFERROR(INDEX(_Datos!F:F,MATCH(289,_Datos!$I:$I,0)),"")</f>
        <v/>
      </c>
      <c r="G296" s="63" t="str">
        <f>IFERROR(INDEX(_Datos!G:G,MATCH(289,_Datos!$I:$I,0)),"")</f>
        <v/>
      </c>
      <c r="H296" s="66" t="str">
        <f>IFERROR(INDEX(_Datos!H:H,MATCH(289,_Datos!$I:$I,0)),"")</f>
        <v/>
      </c>
    </row>
    <row r="297" spans="1:8" x14ac:dyDescent="0.2">
      <c r="A297" s="67" t="str">
        <f>IFERROR(INDEX(_Datos!A:A,MATCH(290,_Datos!$I:$I,0)),"")</f>
        <v/>
      </c>
      <c r="B297" s="67" t="str">
        <f>IFERROR(INDEX(_Datos!B:B,MATCH(290,_Datos!$I:$I,0)),"")</f>
        <v/>
      </c>
      <c r="C297" s="67" t="str">
        <f>IFERROR(INDEX(_Datos!C:C,MATCH(290,_Datos!$I:$I,0)),"")</f>
        <v/>
      </c>
      <c r="D297" s="68" t="str">
        <f>IFERROR(INDEX(_Datos!D:D,MATCH(290,_Datos!$I:$I,0)),"")</f>
        <v/>
      </c>
      <c r="E297" s="69" t="str">
        <f>IFERROR(INDEX(_Datos!E:E,MATCH(290,_Datos!$I:$I,0)),"")</f>
        <v/>
      </c>
      <c r="F297" s="67" t="str">
        <f>IFERROR(INDEX(_Datos!F:F,MATCH(290,_Datos!$I:$I,0)),"")</f>
        <v/>
      </c>
      <c r="G297" s="67" t="str">
        <f>IFERROR(INDEX(_Datos!G:G,MATCH(290,_Datos!$I:$I,0)),"")</f>
        <v/>
      </c>
      <c r="H297" s="70" t="str">
        <f>IFERROR(INDEX(_Datos!H:H,MATCH(290,_Datos!$I:$I,0)),"")</f>
        <v/>
      </c>
    </row>
    <row r="298" spans="1:8" x14ac:dyDescent="0.2">
      <c r="A298" s="63" t="str">
        <f>IFERROR(INDEX(_Datos!A:A,MATCH(291,_Datos!$I:$I,0)),"")</f>
        <v/>
      </c>
      <c r="B298" s="63" t="str">
        <f>IFERROR(INDEX(_Datos!B:B,MATCH(291,_Datos!$I:$I,0)),"")</f>
        <v/>
      </c>
      <c r="C298" s="63" t="str">
        <f>IFERROR(INDEX(_Datos!C:C,MATCH(291,_Datos!$I:$I,0)),"")</f>
        <v/>
      </c>
      <c r="D298" s="64" t="str">
        <f>IFERROR(INDEX(_Datos!D:D,MATCH(291,_Datos!$I:$I,0)),"")</f>
        <v/>
      </c>
      <c r="E298" s="65" t="str">
        <f>IFERROR(INDEX(_Datos!E:E,MATCH(291,_Datos!$I:$I,0)),"")</f>
        <v/>
      </c>
      <c r="F298" s="63" t="str">
        <f>IFERROR(INDEX(_Datos!F:F,MATCH(291,_Datos!$I:$I,0)),"")</f>
        <v/>
      </c>
      <c r="G298" s="63" t="str">
        <f>IFERROR(INDEX(_Datos!G:G,MATCH(291,_Datos!$I:$I,0)),"")</f>
        <v/>
      </c>
      <c r="H298" s="66" t="str">
        <f>IFERROR(INDEX(_Datos!H:H,MATCH(291,_Datos!$I:$I,0)),"")</f>
        <v/>
      </c>
    </row>
    <row r="299" spans="1:8" x14ac:dyDescent="0.2">
      <c r="A299" s="67" t="str">
        <f>IFERROR(INDEX(_Datos!A:A,MATCH(292,_Datos!$I:$I,0)),"")</f>
        <v/>
      </c>
      <c r="B299" s="67" t="str">
        <f>IFERROR(INDEX(_Datos!B:B,MATCH(292,_Datos!$I:$I,0)),"")</f>
        <v/>
      </c>
      <c r="C299" s="67" t="str">
        <f>IFERROR(INDEX(_Datos!C:C,MATCH(292,_Datos!$I:$I,0)),"")</f>
        <v/>
      </c>
      <c r="D299" s="68" t="str">
        <f>IFERROR(INDEX(_Datos!D:D,MATCH(292,_Datos!$I:$I,0)),"")</f>
        <v/>
      </c>
      <c r="E299" s="69" t="str">
        <f>IFERROR(INDEX(_Datos!E:E,MATCH(292,_Datos!$I:$I,0)),"")</f>
        <v/>
      </c>
      <c r="F299" s="67" t="str">
        <f>IFERROR(INDEX(_Datos!F:F,MATCH(292,_Datos!$I:$I,0)),"")</f>
        <v/>
      </c>
      <c r="G299" s="67" t="str">
        <f>IFERROR(INDEX(_Datos!G:G,MATCH(292,_Datos!$I:$I,0)),"")</f>
        <v/>
      </c>
      <c r="H299" s="70" t="str">
        <f>IFERROR(INDEX(_Datos!H:H,MATCH(292,_Datos!$I:$I,0)),"")</f>
        <v/>
      </c>
    </row>
    <row r="300" spans="1:8" x14ac:dyDescent="0.2">
      <c r="A300" s="63" t="str">
        <f>IFERROR(INDEX(_Datos!A:A,MATCH(293,_Datos!$I:$I,0)),"")</f>
        <v/>
      </c>
      <c r="B300" s="63" t="str">
        <f>IFERROR(INDEX(_Datos!B:B,MATCH(293,_Datos!$I:$I,0)),"")</f>
        <v/>
      </c>
      <c r="C300" s="63" t="str">
        <f>IFERROR(INDEX(_Datos!C:C,MATCH(293,_Datos!$I:$I,0)),"")</f>
        <v/>
      </c>
      <c r="D300" s="64" t="str">
        <f>IFERROR(INDEX(_Datos!D:D,MATCH(293,_Datos!$I:$I,0)),"")</f>
        <v/>
      </c>
      <c r="E300" s="65" t="str">
        <f>IFERROR(INDEX(_Datos!E:E,MATCH(293,_Datos!$I:$I,0)),"")</f>
        <v/>
      </c>
      <c r="F300" s="63" t="str">
        <f>IFERROR(INDEX(_Datos!F:F,MATCH(293,_Datos!$I:$I,0)),"")</f>
        <v/>
      </c>
      <c r="G300" s="63" t="str">
        <f>IFERROR(INDEX(_Datos!G:G,MATCH(293,_Datos!$I:$I,0)),"")</f>
        <v/>
      </c>
      <c r="H300" s="66" t="str">
        <f>IFERROR(INDEX(_Datos!H:H,MATCH(293,_Datos!$I:$I,0)),"")</f>
        <v/>
      </c>
    </row>
    <row r="301" spans="1:8" x14ac:dyDescent="0.2">
      <c r="A301" s="67" t="str">
        <f>IFERROR(INDEX(_Datos!A:A,MATCH(294,_Datos!$I:$I,0)),"")</f>
        <v/>
      </c>
      <c r="B301" s="67" t="str">
        <f>IFERROR(INDEX(_Datos!B:B,MATCH(294,_Datos!$I:$I,0)),"")</f>
        <v/>
      </c>
      <c r="C301" s="67" t="str">
        <f>IFERROR(INDEX(_Datos!C:C,MATCH(294,_Datos!$I:$I,0)),"")</f>
        <v/>
      </c>
      <c r="D301" s="68" t="str">
        <f>IFERROR(INDEX(_Datos!D:D,MATCH(294,_Datos!$I:$I,0)),"")</f>
        <v/>
      </c>
      <c r="E301" s="69" t="str">
        <f>IFERROR(INDEX(_Datos!E:E,MATCH(294,_Datos!$I:$I,0)),"")</f>
        <v/>
      </c>
      <c r="F301" s="67" t="str">
        <f>IFERROR(INDEX(_Datos!F:F,MATCH(294,_Datos!$I:$I,0)),"")</f>
        <v/>
      </c>
      <c r="G301" s="67" t="str">
        <f>IFERROR(INDEX(_Datos!G:G,MATCH(294,_Datos!$I:$I,0)),"")</f>
        <v/>
      </c>
      <c r="H301" s="70" t="str">
        <f>IFERROR(INDEX(_Datos!H:H,MATCH(294,_Datos!$I:$I,0)),"")</f>
        <v/>
      </c>
    </row>
    <row r="302" spans="1:8" x14ac:dyDescent="0.2">
      <c r="A302" s="63" t="str">
        <f>IFERROR(INDEX(_Datos!A:A,MATCH(295,_Datos!$I:$I,0)),"")</f>
        <v/>
      </c>
      <c r="B302" s="63" t="str">
        <f>IFERROR(INDEX(_Datos!B:B,MATCH(295,_Datos!$I:$I,0)),"")</f>
        <v/>
      </c>
      <c r="C302" s="63" t="str">
        <f>IFERROR(INDEX(_Datos!C:C,MATCH(295,_Datos!$I:$I,0)),"")</f>
        <v/>
      </c>
      <c r="D302" s="64" t="str">
        <f>IFERROR(INDEX(_Datos!D:D,MATCH(295,_Datos!$I:$I,0)),"")</f>
        <v/>
      </c>
      <c r="E302" s="65" t="str">
        <f>IFERROR(INDEX(_Datos!E:E,MATCH(295,_Datos!$I:$I,0)),"")</f>
        <v/>
      </c>
      <c r="F302" s="63" t="str">
        <f>IFERROR(INDEX(_Datos!F:F,MATCH(295,_Datos!$I:$I,0)),"")</f>
        <v/>
      </c>
      <c r="G302" s="63" t="str">
        <f>IFERROR(INDEX(_Datos!G:G,MATCH(295,_Datos!$I:$I,0)),"")</f>
        <v/>
      </c>
      <c r="H302" s="66" t="str">
        <f>IFERROR(INDEX(_Datos!H:H,MATCH(295,_Datos!$I:$I,0)),"")</f>
        <v/>
      </c>
    </row>
    <row r="303" spans="1:8" x14ac:dyDescent="0.2">
      <c r="A303" s="67" t="str">
        <f>IFERROR(INDEX(_Datos!A:A,MATCH(296,_Datos!$I:$I,0)),"")</f>
        <v/>
      </c>
      <c r="B303" s="67" t="str">
        <f>IFERROR(INDEX(_Datos!B:B,MATCH(296,_Datos!$I:$I,0)),"")</f>
        <v/>
      </c>
      <c r="C303" s="67" t="str">
        <f>IFERROR(INDEX(_Datos!C:C,MATCH(296,_Datos!$I:$I,0)),"")</f>
        <v/>
      </c>
      <c r="D303" s="68" t="str">
        <f>IFERROR(INDEX(_Datos!D:D,MATCH(296,_Datos!$I:$I,0)),"")</f>
        <v/>
      </c>
      <c r="E303" s="69" t="str">
        <f>IFERROR(INDEX(_Datos!E:E,MATCH(296,_Datos!$I:$I,0)),"")</f>
        <v/>
      </c>
      <c r="F303" s="67" t="str">
        <f>IFERROR(INDEX(_Datos!F:F,MATCH(296,_Datos!$I:$I,0)),"")</f>
        <v/>
      </c>
      <c r="G303" s="67" t="str">
        <f>IFERROR(INDEX(_Datos!G:G,MATCH(296,_Datos!$I:$I,0)),"")</f>
        <v/>
      </c>
      <c r="H303" s="70" t="str">
        <f>IFERROR(INDEX(_Datos!H:H,MATCH(296,_Datos!$I:$I,0)),"")</f>
        <v/>
      </c>
    </row>
    <row r="304" spans="1:8" x14ac:dyDescent="0.2">
      <c r="A304" s="63" t="str">
        <f>IFERROR(INDEX(_Datos!A:A,MATCH(297,_Datos!$I:$I,0)),"")</f>
        <v/>
      </c>
      <c r="B304" s="63" t="str">
        <f>IFERROR(INDEX(_Datos!B:B,MATCH(297,_Datos!$I:$I,0)),"")</f>
        <v/>
      </c>
      <c r="C304" s="63" t="str">
        <f>IFERROR(INDEX(_Datos!C:C,MATCH(297,_Datos!$I:$I,0)),"")</f>
        <v/>
      </c>
      <c r="D304" s="64" t="str">
        <f>IFERROR(INDEX(_Datos!D:D,MATCH(297,_Datos!$I:$I,0)),"")</f>
        <v/>
      </c>
      <c r="E304" s="65" t="str">
        <f>IFERROR(INDEX(_Datos!E:E,MATCH(297,_Datos!$I:$I,0)),"")</f>
        <v/>
      </c>
      <c r="F304" s="63" t="str">
        <f>IFERROR(INDEX(_Datos!F:F,MATCH(297,_Datos!$I:$I,0)),"")</f>
        <v/>
      </c>
      <c r="G304" s="63" t="str">
        <f>IFERROR(INDEX(_Datos!G:G,MATCH(297,_Datos!$I:$I,0)),"")</f>
        <v/>
      </c>
      <c r="H304" s="66" t="str">
        <f>IFERROR(INDEX(_Datos!H:H,MATCH(297,_Datos!$I:$I,0)),"")</f>
        <v/>
      </c>
    </row>
    <row r="305" spans="1:8" x14ac:dyDescent="0.2">
      <c r="A305" s="67" t="str">
        <f>IFERROR(INDEX(_Datos!A:A,MATCH(298,_Datos!$I:$I,0)),"")</f>
        <v/>
      </c>
      <c r="B305" s="67" t="str">
        <f>IFERROR(INDEX(_Datos!B:B,MATCH(298,_Datos!$I:$I,0)),"")</f>
        <v/>
      </c>
      <c r="C305" s="67" t="str">
        <f>IFERROR(INDEX(_Datos!C:C,MATCH(298,_Datos!$I:$I,0)),"")</f>
        <v/>
      </c>
      <c r="D305" s="68" t="str">
        <f>IFERROR(INDEX(_Datos!D:D,MATCH(298,_Datos!$I:$I,0)),"")</f>
        <v/>
      </c>
      <c r="E305" s="69" t="str">
        <f>IFERROR(INDEX(_Datos!E:E,MATCH(298,_Datos!$I:$I,0)),"")</f>
        <v/>
      </c>
      <c r="F305" s="67" t="str">
        <f>IFERROR(INDEX(_Datos!F:F,MATCH(298,_Datos!$I:$I,0)),"")</f>
        <v/>
      </c>
      <c r="G305" s="67" t="str">
        <f>IFERROR(INDEX(_Datos!G:G,MATCH(298,_Datos!$I:$I,0)),"")</f>
        <v/>
      </c>
      <c r="H305" s="70" t="str">
        <f>IFERROR(INDEX(_Datos!H:H,MATCH(298,_Datos!$I:$I,0)),"")</f>
        <v/>
      </c>
    </row>
    <row r="306" spans="1:8" x14ac:dyDescent="0.2">
      <c r="A306" s="63" t="str">
        <f>IFERROR(INDEX(_Datos!A:A,MATCH(299,_Datos!$I:$I,0)),"")</f>
        <v/>
      </c>
      <c r="B306" s="63" t="str">
        <f>IFERROR(INDEX(_Datos!B:B,MATCH(299,_Datos!$I:$I,0)),"")</f>
        <v/>
      </c>
      <c r="C306" s="63" t="str">
        <f>IFERROR(INDEX(_Datos!C:C,MATCH(299,_Datos!$I:$I,0)),"")</f>
        <v/>
      </c>
      <c r="D306" s="64" t="str">
        <f>IFERROR(INDEX(_Datos!D:D,MATCH(299,_Datos!$I:$I,0)),"")</f>
        <v/>
      </c>
      <c r="E306" s="65" t="str">
        <f>IFERROR(INDEX(_Datos!E:E,MATCH(299,_Datos!$I:$I,0)),"")</f>
        <v/>
      </c>
      <c r="F306" s="63" t="str">
        <f>IFERROR(INDEX(_Datos!F:F,MATCH(299,_Datos!$I:$I,0)),"")</f>
        <v/>
      </c>
      <c r="G306" s="63" t="str">
        <f>IFERROR(INDEX(_Datos!G:G,MATCH(299,_Datos!$I:$I,0)),"")</f>
        <v/>
      </c>
      <c r="H306" s="66" t="str">
        <f>IFERROR(INDEX(_Datos!H:H,MATCH(299,_Datos!$I:$I,0)),"")</f>
        <v/>
      </c>
    </row>
    <row r="307" spans="1:8" x14ac:dyDescent="0.2">
      <c r="A307" s="67" t="str">
        <f>IFERROR(INDEX(_Datos!A:A,MATCH(300,_Datos!$I:$I,0)),"")</f>
        <v/>
      </c>
      <c r="B307" s="67" t="str">
        <f>IFERROR(INDEX(_Datos!B:B,MATCH(300,_Datos!$I:$I,0)),"")</f>
        <v/>
      </c>
      <c r="C307" s="67" t="str">
        <f>IFERROR(INDEX(_Datos!C:C,MATCH(300,_Datos!$I:$I,0)),"")</f>
        <v/>
      </c>
      <c r="D307" s="68" t="str">
        <f>IFERROR(INDEX(_Datos!D:D,MATCH(300,_Datos!$I:$I,0)),"")</f>
        <v/>
      </c>
      <c r="E307" s="69" t="str">
        <f>IFERROR(INDEX(_Datos!E:E,MATCH(300,_Datos!$I:$I,0)),"")</f>
        <v/>
      </c>
      <c r="F307" s="67" t="str">
        <f>IFERROR(INDEX(_Datos!F:F,MATCH(300,_Datos!$I:$I,0)),"")</f>
        <v/>
      </c>
      <c r="G307" s="67" t="str">
        <f>IFERROR(INDEX(_Datos!G:G,MATCH(300,_Datos!$I:$I,0)),"")</f>
        <v/>
      </c>
      <c r="H307" s="70" t="str">
        <f>IFERROR(INDEX(_Datos!H:H,MATCH(300,_Datos!$I:$I,0)),"")</f>
        <v/>
      </c>
    </row>
    <row r="308" spans="1:8" x14ac:dyDescent="0.2">
      <c r="A308" s="63" t="str">
        <f>IFERROR(INDEX(_Datos!A:A,MATCH(301,_Datos!$I:$I,0)),"")</f>
        <v/>
      </c>
      <c r="B308" s="63" t="str">
        <f>IFERROR(INDEX(_Datos!B:B,MATCH(301,_Datos!$I:$I,0)),"")</f>
        <v/>
      </c>
      <c r="C308" s="63" t="str">
        <f>IFERROR(INDEX(_Datos!C:C,MATCH(301,_Datos!$I:$I,0)),"")</f>
        <v/>
      </c>
      <c r="D308" s="64" t="str">
        <f>IFERROR(INDEX(_Datos!D:D,MATCH(301,_Datos!$I:$I,0)),"")</f>
        <v/>
      </c>
      <c r="E308" s="65" t="str">
        <f>IFERROR(INDEX(_Datos!E:E,MATCH(301,_Datos!$I:$I,0)),"")</f>
        <v/>
      </c>
      <c r="F308" s="63" t="str">
        <f>IFERROR(INDEX(_Datos!F:F,MATCH(301,_Datos!$I:$I,0)),"")</f>
        <v/>
      </c>
      <c r="G308" s="63" t="str">
        <f>IFERROR(INDEX(_Datos!G:G,MATCH(301,_Datos!$I:$I,0)),"")</f>
        <v/>
      </c>
      <c r="H308" s="66" t="str">
        <f>IFERROR(INDEX(_Datos!H:H,MATCH(301,_Datos!$I:$I,0)),"")</f>
        <v/>
      </c>
    </row>
    <row r="309" spans="1:8" x14ac:dyDescent="0.2">
      <c r="A309" s="67" t="str">
        <f>IFERROR(INDEX(_Datos!A:A,MATCH(302,_Datos!$I:$I,0)),"")</f>
        <v/>
      </c>
      <c r="B309" s="67" t="str">
        <f>IFERROR(INDEX(_Datos!B:B,MATCH(302,_Datos!$I:$I,0)),"")</f>
        <v/>
      </c>
      <c r="C309" s="67" t="str">
        <f>IFERROR(INDEX(_Datos!C:C,MATCH(302,_Datos!$I:$I,0)),"")</f>
        <v/>
      </c>
      <c r="D309" s="68" t="str">
        <f>IFERROR(INDEX(_Datos!D:D,MATCH(302,_Datos!$I:$I,0)),"")</f>
        <v/>
      </c>
      <c r="E309" s="69" t="str">
        <f>IFERROR(INDEX(_Datos!E:E,MATCH(302,_Datos!$I:$I,0)),"")</f>
        <v/>
      </c>
      <c r="F309" s="67" t="str">
        <f>IFERROR(INDEX(_Datos!F:F,MATCH(302,_Datos!$I:$I,0)),"")</f>
        <v/>
      </c>
      <c r="G309" s="67" t="str">
        <f>IFERROR(INDEX(_Datos!G:G,MATCH(302,_Datos!$I:$I,0)),"")</f>
        <v/>
      </c>
      <c r="H309" s="70" t="str">
        <f>IFERROR(INDEX(_Datos!H:H,MATCH(302,_Datos!$I:$I,0)),"")</f>
        <v/>
      </c>
    </row>
    <row r="310" spans="1:8" x14ac:dyDescent="0.2">
      <c r="A310" s="63" t="str">
        <f>IFERROR(INDEX(_Datos!A:A,MATCH(303,_Datos!$I:$I,0)),"")</f>
        <v/>
      </c>
      <c r="B310" s="63" t="str">
        <f>IFERROR(INDEX(_Datos!B:B,MATCH(303,_Datos!$I:$I,0)),"")</f>
        <v/>
      </c>
      <c r="C310" s="63" t="str">
        <f>IFERROR(INDEX(_Datos!C:C,MATCH(303,_Datos!$I:$I,0)),"")</f>
        <v/>
      </c>
      <c r="D310" s="64" t="str">
        <f>IFERROR(INDEX(_Datos!D:D,MATCH(303,_Datos!$I:$I,0)),"")</f>
        <v/>
      </c>
      <c r="E310" s="65" t="str">
        <f>IFERROR(INDEX(_Datos!E:E,MATCH(303,_Datos!$I:$I,0)),"")</f>
        <v/>
      </c>
      <c r="F310" s="63" t="str">
        <f>IFERROR(INDEX(_Datos!F:F,MATCH(303,_Datos!$I:$I,0)),"")</f>
        <v/>
      </c>
      <c r="G310" s="63" t="str">
        <f>IFERROR(INDEX(_Datos!G:G,MATCH(303,_Datos!$I:$I,0)),"")</f>
        <v/>
      </c>
      <c r="H310" s="66" t="str">
        <f>IFERROR(INDEX(_Datos!H:H,MATCH(303,_Datos!$I:$I,0)),"")</f>
        <v/>
      </c>
    </row>
    <row r="311" spans="1:8" x14ac:dyDescent="0.2">
      <c r="A311" s="67" t="str">
        <f>IFERROR(INDEX(_Datos!A:A,MATCH(304,_Datos!$I:$I,0)),"")</f>
        <v/>
      </c>
      <c r="B311" s="67" t="str">
        <f>IFERROR(INDEX(_Datos!B:B,MATCH(304,_Datos!$I:$I,0)),"")</f>
        <v/>
      </c>
      <c r="C311" s="67" t="str">
        <f>IFERROR(INDEX(_Datos!C:C,MATCH(304,_Datos!$I:$I,0)),"")</f>
        <v/>
      </c>
      <c r="D311" s="68" t="str">
        <f>IFERROR(INDEX(_Datos!D:D,MATCH(304,_Datos!$I:$I,0)),"")</f>
        <v/>
      </c>
      <c r="E311" s="69" t="str">
        <f>IFERROR(INDEX(_Datos!E:E,MATCH(304,_Datos!$I:$I,0)),"")</f>
        <v/>
      </c>
      <c r="F311" s="67" t="str">
        <f>IFERROR(INDEX(_Datos!F:F,MATCH(304,_Datos!$I:$I,0)),"")</f>
        <v/>
      </c>
      <c r="G311" s="67" t="str">
        <f>IFERROR(INDEX(_Datos!G:G,MATCH(304,_Datos!$I:$I,0)),"")</f>
        <v/>
      </c>
      <c r="H311" s="70" t="str">
        <f>IFERROR(INDEX(_Datos!H:H,MATCH(304,_Datos!$I:$I,0)),"")</f>
        <v/>
      </c>
    </row>
    <row r="312" spans="1:8" x14ac:dyDescent="0.2">
      <c r="A312" s="63" t="str">
        <f>IFERROR(INDEX(_Datos!A:A,MATCH(305,_Datos!$I:$I,0)),"")</f>
        <v/>
      </c>
      <c r="B312" s="63" t="str">
        <f>IFERROR(INDEX(_Datos!B:B,MATCH(305,_Datos!$I:$I,0)),"")</f>
        <v/>
      </c>
      <c r="C312" s="63" t="str">
        <f>IFERROR(INDEX(_Datos!C:C,MATCH(305,_Datos!$I:$I,0)),"")</f>
        <v/>
      </c>
      <c r="D312" s="64" t="str">
        <f>IFERROR(INDEX(_Datos!D:D,MATCH(305,_Datos!$I:$I,0)),"")</f>
        <v/>
      </c>
      <c r="E312" s="65" t="str">
        <f>IFERROR(INDEX(_Datos!E:E,MATCH(305,_Datos!$I:$I,0)),"")</f>
        <v/>
      </c>
      <c r="F312" s="63" t="str">
        <f>IFERROR(INDEX(_Datos!F:F,MATCH(305,_Datos!$I:$I,0)),"")</f>
        <v/>
      </c>
      <c r="G312" s="63" t="str">
        <f>IFERROR(INDEX(_Datos!G:G,MATCH(305,_Datos!$I:$I,0)),"")</f>
        <v/>
      </c>
      <c r="H312" s="66" t="str">
        <f>IFERROR(INDEX(_Datos!H:H,MATCH(305,_Datos!$I:$I,0)),"")</f>
        <v/>
      </c>
    </row>
    <row r="313" spans="1:8" x14ac:dyDescent="0.2">
      <c r="A313" s="67" t="str">
        <f>IFERROR(INDEX(_Datos!A:A,MATCH(306,_Datos!$I:$I,0)),"")</f>
        <v/>
      </c>
      <c r="B313" s="67" t="str">
        <f>IFERROR(INDEX(_Datos!B:B,MATCH(306,_Datos!$I:$I,0)),"")</f>
        <v/>
      </c>
      <c r="C313" s="67" t="str">
        <f>IFERROR(INDEX(_Datos!C:C,MATCH(306,_Datos!$I:$I,0)),"")</f>
        <v/>
      </c>
      <c r="D313" s="68" t="str">
        <f>IFERROR(INDEX(_Datos!D:D,MATCH(306,_Datos!$I:$I,0)),"")</f>
        <v/>
      </c>
      <c r="E313" s="69" t="str">
        <f>IFERROR(INDEX(_Datos!E:E,MATCH(306,_Datos!$I:$I,0)),"")</f>
        <v/>
      </c>
      <c r="F313" s="67" t="str">
        <f>IFERROR(INDEX(_Datos!F:F,MATCH(306,_Datos!$I:$I,0)),"")</f>
        <v/>
      </c>
      <c r="G313" s="67" t="str">
        <f>IFERROR(INDEX(_Datos!G:G,MATCH(306,_Datos!$I:$I,0)),"")</f>
        <v/>
      </c>
      <c r="H313" s="70" t="str">
        <f>IFERROR(INDEX(_Datos!H:H,MATCH(306,_Datos!$I:$I,0)),"")</f>
        <v/>
      </c>
    </row>
    <row r="314" spans="1:8" x14ac:dyDescent="0.2">
      <c r="A314" s="63" t="str">
        <f>IFERROR(INDEX(_Datos!A:A,MATCH(307,_Datos!$I:$I,0)),"")</f>
        <v/>
      </c>
      <c r="B314" s="63" t="str">
        <f>IFERROR(INDEX(_Datos!B:B,MATCH(307,_Datos!$I:$I,0)),"")</f>
        <v/>
      </c>
      <c r="C314" s="63" t="str">
        <f>IFERROR(INDEX(_Datos!C:C,MATCH(307,_Datos!$I:$I,0)),"")</f>
        <v/>
      </c>
      <c r="D314" s="64" t="str">
        <f>IFERROR(INDEX(_Datos!D:D,MATCH(307,_Datos!$I:$I,0)),"")</f>
        <v/>
      </c>
      <c r="E314" s="65" t="str">
        <f>IFERROR(INDEX(_Datos!E:E,MATCH(307,_Datos!$I:$I,0)),"")</f>
        <v/>
      </c>
      <c r="F314" s="63" t="str">
        <f>IFERROR(INDEX(_Datos!F:F,MATCH(307,_Datos!$I:$I,0)),"")</f>
        <v/>
      </c>
      <c r="G314" s="63" t="str">
        <f>IFERROR(INDEX(_Datos!G:G,MATCH(307,_Datos!$I:$I,0)),"")</f>
        <v/>
      </c>
      <c r="H314" s="66" t="str">
        <f>IFERROR(INDEX(_Datos!H:H,MATCH(307,_Datos!$I:$I,0)),"")</f>
        <v/>
      </c>
    </row>
    <row r="315" spans="1:8" x14ac:dyDescent="0.2">
      <c r="A315" s="67" t="str">
        <f>IFERROR(INDEX(_Datos!A:A,MATCH(308,_Datos!$I:$I,0)),"")</f>
        <v/>
      </c>
      <c r="B315" s="67" t="str">
        <f>IFERROR(INDEX(_Datos!B:B,MATCH(308,_Datos!$I:$I,0)),"")</f>
        <v/>
      </c>
      <c r="C315" s="67" t="str">
        <f>IFERROR(INDEX(_Datos!C:C,MATCH(308,_Datos!$I:$I,0)),"")</f>
        <v/>
      </c>
      <c r="D315" s="68" t="str">
        <f>IFERROR(INDEX(_Datos!D:D,MATCH(308,_Datos!$I:$I,0)),"")</f>
        <v/>
      </c>
      <c r="E315" s="69" t="str">
        <f>IFERROR(INDEX(_Datos!E:E,MATCH(308,_Datos!$I:$I,0)),"")</f>
        <v/>
      </c>
      <c r="F315" s="67" t="str">
        <f>IFERROR(INDEX(_Datos!F:F,MATCH(308,_Datos!$I:$I,0)),"")</f>
        <v/>
      </c>
      <c r="G315" s="67" t="str">
        <f>IFERROR(INDEX(_Datos!G:G,MATCH(308,_Datos!$I:$I,0)),"")</f>
        <v/>
      </c>
      <c r="H315" s="70" t="str">
        <f>IFERROR(INDEX(_Datos!H:H,MATCH(308,_Datos!$I:$I,0)),"")</f>
        <v/>
      </c>
    </row>
    <row r="316" spans="1:8" x14ac:dyDescent="0.2">
      <c r="A316" s="63" t="str">
        <f>IFERROR(INDEX(_Datos!A:A,MATCH(309,_Datos!$I:$I,0)),"")</f>
        <v/>
      </c>
      <c r="B316" s="63" t="str">
        <f>IFERROR(INDEX(_Datos!B:B,MATCH(309,_Datos!$I:$I,0)),"")</f>
        <v/>
      </c>
      <c r="C316" s="63" t="str">
        <f>IFERROR(INDEX(_Datos!C:C,MATCH(309,_Datos!$I:$I,0)),"")</f>
        <v/>
      </c>
      <c r="D316" s="64" t="str">
        <f>IFERROR(INDEX(_Datos!D:D,MATCH(309,_Datos!$I:$I,0)),"")</f>
        <v/>
      </c>
      <c r="E316" s="65" t="str">
        <f>IFERROR(INDEX(_Datos!E:E,MATCH(309,_Datos!$I:$I,0)),"")</f>
        <v/>
      </c>
      <c r="F316" s="63" t="str">
        <f>IFERROR(INDEX(_Datos!F:F,MATCH(309,_Datos!$I:$I,0)),"")</f>
        <v/>
      </c>
      <c r="G316" s="63" t="str">
        <f>IFERROR(INDEX(_Datos!G:G,MATCH(309,_Datos!$I:$I,0)),"")</f>
        <v/>
      </c>
      <c r="H316" s="66" t="str">
        <f>IFERROR(INDEX(_Datos!H:H,MATCH(309,_Datos!$I:$I,0)),"")</f>
        <v/>
      </c>
    </row>
    <row r="317" spans="1:8" x14ac:dyDescent="0.2">
      <c r="A317" s="67" t="str">
        <f>IFERROR(INDEX(_Datos!A:A,MATCH(310,_Datos!$I:$I,0)),"")</f>
        <v/>
      </c>
      <c r="B317" s="67" t="str">
        <f>IFERROR(INDEX(_Datos!B:B,MATCH(310,_Datos!$I:$I,0)),"")</f>
        <v/>
      </c>
      <c r="C317" s="67" t="str">
        <f>IFERROR(INDEX(_Datos!C:C,MATCH(310,_Datos!$I:$I,0)),"")</f>
        <v/>
      </c>
      <c r="D317" s="68" t="str">
        <f>IFERROR(INDEX(_Datos!D:D,MATCH(310,_Datos!$I:$I,0)),"")</f>
        <v/>
      </c>
      <c r="E317" s="69" t="str">
        <f>IFERROR(INDEX(_Datos!E:E,MATCH(310,_Datos!$I:$I,0)),"")</f>
        <v/>
      </c>
      <c r="F317" s="67" t="str">
        <f>IFERROR(INDEX(_Datos!F:F,MATCH(310,_Datos!$I:$I,0)),"")</f>
        <v/>
      </c>
      <c r="G317" s="67" t="str">
        <f>IFERROR(INDEX(_Datos!G:G,MATCH(310,_Datos!$I:$I,0)),"")</f>
        <v/>
      </c>
      <c r="H317" s="70" t="str">
        <f>IFERROR(INDEX(_Datos!H:H,MATCH(310,_Datos!$I:$I,0)),"")</f>
        <v/>
      </c>
    </row>
    <row r="318" spans="1:8" x14ac:dyDescent="0.2">
      <c r="A318" s="63" t="str">
        <f>IFERROR(INDEX(_Datos!A:A,MATCH(311,_Datos!$I:$I,0)),"")</f>
        <v/>
      </c>
      <c r="B318" s="63" t="str">
        <f>IFERROR(INDEX(_Datos!B:B,MATCH(311,_Datos!$I:$I,0)),"")</f>
        <v/>
      </c>
      <c r="C318" s="63" t="str">
        <f>IFERROR(INDEX(_Datos!C:C,MATCH(311,_Datos!$I:$I,0)),"")</f>
        <v/>
      </c>
      <c r="D318" s="64" t="str">
        <f>IFERROR(INDEX(_Datos!D:D,MATCH(311,_Datos!$I:$I,0)),"")</f>
        <v/>
      </c>
      <c r="E318" s="65" t="str">
        <f>IFERROR(INDEX(_Datos!E:E,MATCH(311,_Datos!$I:$I,0)),"")</f>
        <v/>
      </c>
      <c r="F318" s="63" t="str">
        <f>IFERROR(INDEX(_Datos!F:F,MATCH(311,_Datos!$I:$I,0)),"")</f>
        <v/>
      </c>
      <c r="G318" s="63" t="str">
        <f>IFERROR(INDEX(_Datos!G:G,MATCH(311,_Datos!$I:$I,0)),"")</f>
        <v/>
      </c>
      <c r="H318" s="66" t="str">
        <f>IFERROR(INDEX(_Datos!H:H,MATCH(311,_Datos!$I:$I,0)),"")</f>
        <v/>
      </c>
    </row>
    <row r="319" spans="1:8" x14ac:dyDescent="0.2">
      <c r="A319" s="67" t="str">
        <f>IFERROR(INDEX(_Datos!A:A,MATCH(312,_Datos!$I:$I,0)),"")</f>
        <v/>
      </c>
      <c r="B319" s="67" t="str">
        <f>IFERROR(INDEX(_Datos!B:B,MATCH(312,_Datos!$I:$I,0)),"")</f>
        <v/>
      </c>
      <c r="C319" s="67" t="str">
        <f>IFERROR(INDEX(_Datos!C:C,MATCH(312,_Datos!$I:$I,0)),"")</f>
        <v/>
      </c>
      <c r="D319" s="68" t="str">
        <f>IFERROR(INDEX(_Datos!D:D,MATCH(312,_Datos!$I:$I,0)),"")</f>
        <v/>
      </c>
      <c r="E319" s="69" t="str">
        <f>IFERROR(INDEX(_Datos!E:E,MATCH(312,_Datos!$I:$I,0)),"")</f>
        <v/>
      </c>
      <c r="F319" s="67" t="str">
        <f>IFERROR(INDEX(_Datos!F:F,MATCH(312,_Datos!$I:$I,0)),"")</f>
        <v/>
      </c>
      <c r="G319" s="67" t="str">
        <f>IFERROR(INDEX(_Datos!G:G,MATCH(312,_Datos!$I:$I,0)),"")</f>
        <v/>
      </c>
      <c r="H319" s="70" t="str">
        <f>IFERROR(INDEX(_Datos!H:H,MATCH(312,_Datos!$I:$I,0)),"")</f>
        <v/>
      </c>
    </row>
    <row r="320" spans="1:8" x14ac:dyDescent="0.2">
      <c r="A320" s="63" t="str">
        <f>IFERROR(INDEX(_Datos!A:A,MATCH(313,_Datos!$I:$I,0)),"")</f>
        <v/>
      </c>
      <c r="B320" s="63" t="str">
        <f>IFERROR(INDEX(_Datos!B:B,MATCH(313,_Datos!$I:$I,0)),"")</f>
        <v/>
      </c>
      <c r="C320" s="63" t="str">
        <f>IFERROR(INDEX(_Datos!C:C,MATCH(313,_Datos!$I:$I,0)),"")</f>
        <v/>
      </c>
      <c r="D320" s="64" t="str">
        <f>IFERROR(INDEX(_Datos!D:D,MATCH(313,_Datos!$I:$I,0)),"")</f>
        <v/>
      </c>
      <c r="E320" s="65" t="str">
        <f>IFERROR(INDEX(_Datos!E:E,MATCH(313,_Datos!$I:$I,0)),"")</f>
        <v/>
      </c>
      <c r="F320" s="63" t="str">
        <f>IFERROR(INDEX(_Datos!F:F,MATCH(313,_Datos!$I:$I,0)),"")</f>
        <v/>
      </c>
      <c r="G320" s="63" t="str">
        <f>IFERROR(INDEX(_Datos!G:G,MATCH(313,_Datos!$I:$I,0)),"")</f>
        <v/>
      </c>
      <c r="H320" s="66" t="str">
        <f>IFERROR(INDEX(_Datos!H:H,MATCH(313,_Datos!$I:$I,0)),"")</f>
        <v/>
      </c>
    </row>
    <row r="321" spans="1:8" x14ac:dyDescent="0.2">
      <c r="A321" s="67" t="str">
        <f>IFERROR(INDEX(_Datos!A:A,MATCH(314,_Datos!$I:$I,0)),"")</f>
        <v/>
      </c>
      <c r="B321" s="67" t="str">
        <f>IFERROR(INDEX(_Datos!B:B,MATCH(314,_Datos!$I:$I,0)),"")</f>
        <v/>
      </c>
      <c r="C321" s="67" t="str">
        <f>IFERROR(INDEX(_Datos!C:C,MATCH(314,_Datos!$I:$I,0)),"")</f>
        <v/>
      </c>
      <c r="D321" s="68" t="str">
        <f>IFERROR(INDEX(_Datos!D:D,MATCH(314,_Datos!$I:$I,0)),"")</f>
        <v/>
      </c>
      <c r="E321" s="69" t="str">
        <f>IFERROR(INDEX(_Datos!E:E,MATCH(314,_Datos!$I:$I,0)),"")</f>
        <v/>
      </c>
      <c r="F321" s="67" t="str">
        <f>IFERROR(INDEX(_Datos!F:F,MATCH(314,_Datos!$I:$I,0)),"")</f>
        <v/>
      </c>
      <c r="G321" s="67" t="str">
        <f>IFERROR(INDEX(_Datos!G:G,MATCH(314,_Datos!$I:$I,0)),"")</f>
        <v/>
      </c>
      <c r="H321" s="70" t="str">
        <f>IFERROR(INDEX(_Datos!H:H,MATCH(314,_Datos!$I:$I,0)),"")</f>
        <v/>
      </c>
    </row>
    <row r="322" spans="1:8" x14ac:dyDescent="0.2">
      <c r="A322" s="63" t="str">
        <f>IFERROR(INDEX(_Datos!A:A,MATCH(315,_Datos!$I:$I,0)),"")</f>
        <v/>
      </c>
      <c r="B322" s="63" t="str">
        <f>IFERROR(INDEX(_Datos!B:B,MATCH(315,_Datos!$I:$I,0)),"")</f>
        <v/>
      </c>
      <c r="C322" s="63" t="str">
        <f>IFERROR(INDEX(_Datos!C:C,MATCH(315,_Datos!$I:$I,0)),"")</f>
        <v/>
      </c>
      <c r="D322" s="64" t="str">
        <f>IFERROR(INDEX(_Datos!D:D,MATCH(315,_Datos!$I:$I,0)),"")</f>
        <v/>
      </c>
      <c r="E322" s="65" t="str">
        <f>IFERROR(INDEX(_Datos!E:E,MATCH(315,_Datos!$I:$I,0)),"")</f>
        <v/>
      </c>
      <c r="F322" s="63" t="str">
        <f>IFERROR(INDEX(_Datos!F:F,MATCH(315,_Datos!$I:$I,0)),"")</f>
        <v/>
      </c>
      <c r="G322" s="63" t="str">
        <f>IFERROR(INDEX(_Datos!G:G,MATCH(315,_Datos!$I:$I,0)),"")</f>
        <v/>
      </c>
      <c r="H322" s="66" t="str">
        <f>IFERROR(INDEX(_Datos!H:H,MATCH(315,_Datos!$I:$I,0)),"")</f>
        <v/>
      </c>
    </row>
    <row r="323" spans="1:8" x14ac:dyDescent="0.2">
      <c r="A323" s="67" t="str">
        <f>IFERROR(INDEX(_Datos!A:A,MATCH(316,_Datos!$I:$I,0)),"")</f>
        <v/>
      </c>
      <c r="B323" s="67" t="str">
        <f>IFERROR(INDEX(_Datos!B:B,MATCH(316,_Datos!$I:$I,0)),"")</f>
        <v/>
      </c>
      <c r="C323" s="67" t="str">
        <f>IFERROR(INDEX(_Datos!C:C,MATCH(316,_Datos!$I:$I,0)),"")</f>
        <v/>
      </c>
      <c r="D323" s="68" t="str">
        <f>IFERROR(INDEX(_Datos!D:D,MATCH(316,_Datos!$I:$I,0)),"")</f>
        <v/>
      </c>
      <c r="E323" s="69" t="str">
        <f>IFERROR(INDEX(_Datos!E:E,MATCH(316,_Datos!$I:$I,0)),"")</f>
        <v/>
      </c>
      <c r="F323" s="67" t="str">
        <f>IFERROR(INDEX(_Datos!F:F,MATCH(316,_Datos!$I:$I,0)),"")</f>
        <v/>
      </c>
      <c r="G323" s="67" t="str">
        <f>IFERROR(INDEX(_Datos!G:G,MATCH(316,_Datos!$I:$I,0)),"")</f>
        <v/>
      </c>
      <c r="H323" s="70" t="str">
        <f>IFERROR(INDEX(_Datos!H:H,MATCH(316,_Datos!$I:$I,0)),"")</f>
        <v/>
      </c>
    </row>
    <row r="324" spans="1:8" x14ac:dyDescent="0.2">
      <c r="A324" s="63" t="str">
        <f>IFERROR(INDEX(_Datos!A:A,MATCH(317,_Datos!$I:$I,0)),"")</f>
        <v/>
      </c>
      <c r="B324" s="63" t="str">
        <f>IFERROR(INDEX(_Datos!B:B,MATCH(317,_Datos!$I:$I,0)),"")</f>
        <v/>
      </c>
      <c r="C324" s="63" t="str">
        <f>IFERROR(INDEX(_Datos!C:C,MATCH(317,_Datos!$I:$I,0)),"")</f>
        <v/>
      </c>
      <c r="D324" s="64" t="str">
        <f>IFERROR(INDEX(_Datos!D:D,MATCH(317,_Datos!$I:$I,0)),"")</f>
        <v/>
      </c>
      <c r="E324" s="65" t="str">
        <f>IFERROR(INDEX(_Datos!E:E,MATCH(317,_Datos!$I:$I,0)),"")</f>
        <v/>
      </c>
      <c r="F324" s="63" t="str">
        <f>IFERROR(INDEX(_Datos!F:F,MATCH(317,_Datos!$I:$I,0)),"")</f>
        <v/>
      </c>
      <c r="G324" s="63" t="str">
        <f>IFERROR(INDEX(_Datos!G:G,MATCH(317,_Datos!$I:$I,0)),"")</f>
        <v/>
      </c>
      <c r="H324" s="66" t="str">
        <f>IFERROR(INDEX(_Datos!H:H,MATCH(317,_Datos!$I:$I,0)),"")</f>
        <v/>
      </c>
    </row>
    <row r="325" spans="1:8" x14ac:dyDescent="0.2">
      <c r="A325" s="67" t="str">
        <f>IFERROR(INDEX(_Datos!A:A,MATCH(318,_Datos!$I:$I,0)),"")</f>
        <v/>
      </c>
      <c r="B325" s="67" t="str">
        <f>IFERROR(INDEX(_Datos!B:B,MATCH(318,_Datos!$I:$I,0)),"")</f>
        <v/>
      </c>
      <c r="C325" s="67" t="str">
        <f>IFERROR(INDEX(_Datos!C:C,MATCH(318,_Datos!$I:$I,0)),"")</f>
        <v/>
      </c>
      <c r="D325" s="68" t="str">
        <f>IFERROR(INDEX(_Datos!D:D,MATCH(318,_Datos!$I:$I,0)),"")</f>
        <v/>
      </c>
      <c r="E325" s="69" t="str">
        <f>IFERROR(INDEX(_Datos!E:E,MATCH(318,_Datos!$I:$I,0)),"")</f>
        <v/>
      </c>
      <c r="F325" s="67" t="str">
        <f>IFERROR(INDEX(_Datos!F:F,MATCH(318,_Datos!$I:$I,0)),"")</f>
        <v/>
      </c>
      <c r="G325" s="67" t="str">
        <f>IFERROR(INDEX(_Datos!G:G,MATCH(318,_Datos!$I:$I,0)),"")</f>
        <v/>
      </c>
      <c r="H325" s="70" t="str">
        <f>IFERROR(INDEX(_Datos!H:H,MATCH(318,_Datos!$I:$I,0)),"")</f>
        <v/>
      </c>
    </row>
    <row r="326" spans="1:8" x14ac:dyDescent="0.2">
      <c r="A326" s="63" t="str">
        <f>IFERROR(INDEX(_Datos!A:A,MATCH(319,_Datos!$I:$I,0)),"")</f>
        <v/>
      </c>
      <c r="B326" s="63" t="str">
        <f>IFERROR(INDEX(_Datos!B:B,MATCH(319,_Datos!$I:$I,0)),"")</f>
        <v/>
      </c>
      <c r="C326" s="63" t="str">
        <f>IFERROR(INDEX(_Datos!C:C,MATCH(319,_Datos!$I:$I,0)),"")</f>
        <v/>
      </c>
      <c r="D326" s="64" t="str">
        <f>IFERROR(INDEX(_Datos!D:D,MATCH(319,_Datos!$I:$I,0)),"")</f>
        <v/>
      </c>
      <c r="E326" s="65" t="str">
        <f>IFERROR(INDEX(_Datos!E:E,MATCH(319,_Datos!$I:$I,0)),"")</f>
        <v/>
      </c>
      <c r="F326" s="63" t="str">
        <f>IFERROR(INDEX(_Datos!F:F,MATCH(319,_Datos!$I:$I,0)),"")</f>
        <v/>
      </c>
      <c r="G326" s="63" t="str">
        <f>IFERROR(INDEX(_Datos!G:G,MATCH(319,_Datos!$I:$I,0)),"")</f>
        <v/>
      </c>
      <c r="H326" s="66" t="str">
        <f>IFERROR(INDEX(_Datos!H:H,MATCH(319,_Datos!$I:$I,0)),"")</f>
        <v/>
      </c>
    </row>
    <row r="327" spans="1:8" x14ac:dyDescent="0.2">
      <c r="A327" s="67" t="str">
        <f>IFERROR(INDEX(_Datos!A:A,MATCH(320,_Datos!$I:$I,0)),"")</f>
        <v/>
      </c>
      <c r="B327" s="67" t="str">
        <f>IFERROR(INDEX(_Datos!B:B,MATCH(320,_Datos!$I:$I,0)),"")</f>
        <v/>
      </c>
      <c r="C327" s="67" t="str">
        <f>IFERROR(INDEX(_Datos!C:C,MATCH(320,_Datos!$I:$I,0)),"")</f>
        <v/>
      </c>
      <c r="D327" s="68" t="str">
        <f>IFERROR(INDEX(_Datos!D:D,MATCH(320,_Datos!$I:$I,0)),"")</f>
        <v/>
      </c>
      <c r="E327" s="69" t="str">
        <f>IFERROR(INDEX(_Datos!E:E,MATCH(320,_Datos!$I:$I,0)),"")</f>
        <v/>
      </c>
      <c r="F327" s="67" t="str">
        <f>IFERROR(INDEX(_Datos!F:F,MATCH(320,_Datos!$I:$I,0)),"")</f>
        <v/>
      </c>
      <c r="G327" s="67" t="str">
        <f>IFERROR(INDEX(_Datos!G:G,MATCH(320,_Datos!$I:$I,0)),"")</f>
        <v/>
      </c>
      <c r="H327" s="70" t="str">
        <f>IFERROR(INDEX(_Datos!H:H,MATCH(320,_Datos!$I:$I,0)),"")</f>
        <v/>
      </c>
    </row>
    <row r="328" spans="1:8" x14ac:dyDescent="0.2">
      <c r="A328" s="63" t="str">
        <f>IFERROR(INDEX(_Datos!A:A,MATCH(321,_Datos!$I:$I,0)),"")</f>
        <v/>
      </c>
      <c r="B328" s="63" t="str">
        <f>IFERROR(INDEX(_Datos!B:B,MATCH(321,_Datos!$I:$I,0)),"")</f>
        <v/>
      </c>
      <c r="C328" s="63" t="str">
        <f>IFERROR(INDEX(_Datos!C:C,MATCH(321,_Datos!$I:$I,0)),"")</f>
        <v/>
      </c>
      <c r="D328" s="64" t="str">
        <f>IFERROR(INDEX(_Datos!D:D,MATCH(321,_Datos!$I:$I,0)),"")</f>
        <v/>
      </c>
      <c r="E328" s="65" t="str">
        <f>IFERROR(INDEX(_Datos!E:E,MATCH(321,_Datos!$I:$I,0)),"")</f>
        <v/>
      </c>
      <c r="F328" s="63" t="str">
        <f>IFERROR(INDEX(_Datos!F:F,MATCH(321,_Datos!$I:$I,0)),"")</f>
        <v/>
      </c>
      <c r="G328" s="63" t="str">
        <f>IFERROR(INDEX(_Datos!G:G,MATCH(321,_Datos!$I:$I,0)),"")</f>
        <v/>
      </c>
      <c r="H328" s="66" t="str">
        <f>IFERROR(INDEX(_Datos!H:H,MATCH(321,_Datos!$I:$I,0)),"")</f>
        <v/>
      </c>
    </row>
    <row r="329" spans="1:8" x14ac:dyDescent="0.2">
      <c r="A329" s="67" t="str">
        <f>IFERROR(INDEX(_Datos!A:A,MATCH(322,_Datos!$I:$I,0)),"")</f>
        <v/>
      </c>
      <c r="B329" s="67" t="str">
        <f>IFERROR(INDEX(_Datos!B:B,MATCH(322,_Datos!$I:$I,0)),"")</f>
        <v/>
      </c>
      <c r="C329" s="67" t="str">
        <f>IFERROR(INDEX(_Datos!C:C,MATCH(322,_Datos!$I:$I,0)),"")</f>
        <v/>
      </c>
      <c r="D329" s="68" t="str">
        <f>IFERROR(INDEX(_Datos!D:D,MATCH(322,_Datos!$I:$I,0)),"")</f>
        <v/>
      </c>
      <c r="E329" s="69" t="str">
        <f>IFERROR(INDEX(_Datos!E:E,MATCH(322,_Datos!$I:$I,0)),"")</f>
        <v/>
      </c>
      <c r="F329" s="67" t="str">
        <f>IFERROR(INDEX(_Datos!F:F,MATCH(322,_Datos!$I:$I,0)),"")</f>
        <v/>
      </c>
      <c r="G329" s="67" t="str">
        <f>IFERROR(INDEX(_Datos!G:G,MATCH(322,_Datos!$I:$I,0)),"")</f>
        <v/>
      </c>
      <c r="H329" s="70" t="str">
        <f>IFERROR(INDEX(_Datos!H:H,MATCH(322,_Datos!$I:$I,0)),"")</f>
        <v/>
      </c>
    </row>
    <row r="330" spans="1:8" x14ac:dyDescent="0.2">
      <c r="A330" s="63" t="str">
        <f>IFERROR(INDEX(_Datos!A:A,MATCH(323,_Datos!$I:$I,0)),"")</f>
        <v/>
      </c>
      <c r="B330" s="63" t="str">
        <f>IFERROR(INDEX(_Datos!B:B,MATCH(323,_Datos!$I:$I,0)),"")</f>
        <v/>
      </c>
      <c r="C330" s="63" t="str">
        <f>IFERROR(INDEX(_Datos!C:C,MATCH(323,_Datos!$I:$I,0)),"")</f>
        <v/>
      </c>
      <c r="D330" s="64" t="str">
        <f>IFERROR(INDEX(_Datos!D:D,MATCH(323,_Datos!$I:$I,0)),"")</f>
        <v/>
      </c>
      <c r="E330" s="65" t="str">
        <f>IFERROR(INDEX(_Datos!E:E,MATCH(323,_Datos!$I:$I,0)),"")</f>
        <v/>
      </c>
      <c r="F330" s="63" t="str">
        <f>IFERROR(INDEX(_Datos!F:F,MATCH(323,_Datos!$I:$I,0)),"")</f>
        <v/>
      </c>
      <c r="G330" s="63" t="str">
        <f>IFERROR(INDEX(_Datos!G:G,MATCH(323,_Datos!$I:$I,0)),"")</f>
        <v/>
      </c>
      <c r="H330" s="66" t="str">
        <f>IFERROR(INDEX(_Datos!H:H,MATCH(323,_Datos!$I:$I,0)),"")</f>
        <v/>
      </c>
    </row>
    <row r="331" spans="1:8" x14ac:dyDescent="0.2">
      <c r="A331" s="67" t="str">
        <f>IFERROR(INDEX(_Datos!A:A,MATCH(324,_Datos!$I:$I,0)),"")</f>
        <v/>
      </c>
      <c r="B331" s="67" t="str">
        <f>IFERROR(INDEX(_Datos!B:B,MATCH(324,_Datos!$I:$I,0)),"")</f>
        <v/>
      </c>
      <c r="C331" s="67" t="str">
        <f>IFERROR(INDEX(_Datos!C:C,MATCH(324,_Datos!$I:$I,0)),"")</f>
        <v/>
      </c>
      <c r="D331" s="68" t="str">
        <f>IFERROR(INDEX(_Datos!D:D,MATCH(324,_Datos!$I:$I,0)),"")</f>
        <v/>
      </c>
      <c r="E331" s="69" t="str">
        <f>IFERROR(INDEX(_Datos!E:E,MATCH(324,_Datos!$I:$I,0)),"")</f>
        <v/>
      </c>
      <c r="F331" s="67" t="str">
        <f>IFERROR(INDEX(_Datos!F:F,MATCH(324,_Datos!$I:$I,0)),"")</f>
        <v/>
      </c>
      <c r="G331" s="67" t="str">
        <f>IFERROR(INDEX(_Datos!G:G,MATCH(324,_Datos!$I:$I,0)),"")</f>
        <v/>
      </c>
      <c r="H331" s="70" t="str">
        <f>IFERROR(INDEX(_Datos!H:H,MATCH(324,_Datos!$I:$I,0)),"")</f>
        <v/>
      </c>
    </row>
    <row r="332" spans="1:8" x14ac:dyDescent="0.2">
      <c r="A332" s="63" t="str">
        <f>IFERROR(INDEX(_Datos!A:A,MATCH(325,_Datos!$I:$I,0)),"")</f>
        <v/>
      </c>
      <c r="B332" s="63" t="str">
        <f>IFERROR(INDEX(_Datos!B:B,MATCH(325,_Datos!$I:$I,0)),"")</f>
        <v/>
      </c>
      <c r="C332" s="63" t="str">
        <f>IFERROR(INDEX(_Datos!C:C,MATCH(325,_Datos!$I:$I,0)),"")</f>
        <v/>
      </c>
      <c r="D332" s="64" t="str">
        <f>IFERROR(INDEX(_Datos!D:D,MATCH(325,_Datos!$I:$I,0)),"")</f>
        <v/>
      </c>
      <c r="E332" s="65" t="str">
        <f>IFERROR(INDEX(_Datos!E:E,MATCH(325,_Datos!$I:$I,0)),"")</f>
        <v/>
      </c>
      <c r="F332" s="63" t="str">
        <f>IFERROR(INDEX(_Datos!F:F,MATCH(325,_Datos!$I:$I,0)),"")</f>
        <v/>
      </c>
      <c r="G332" s="63" t="str">
        <f>IFERROR(INDEX(_Datos!G:G,MATCH(325,_Datos!$I:$I,0)),"")</f>
        <v/>
      </c>
      <c r="H332" s="66" t="str">
        <f>IFERROR(INDEX(_Datos!H:H,MATCH(325,_Datos!$I:$I,0)),"")</f>
        <v/>
      </c>
    </row>
    <row r="333" spans="1:8" x14ac:dyDescent="0.2">
      <c r="A333" s="67" t="str">
        <f>IFERROR(INDEX(_Datos!A:A,MATCH(326,_Datos!$I:$I,0)),"")</f>
        <v/>
      </c>
      <c r="B333" s="67" t="str">
        <f>IFERROR(INDEX(_Datos!B:B,MATCH(326,_Datos!$I:$I,0)),"")</f>
        <v/>
      </c>
      <c r="C333" s="67" t="str">
        <f>IFERROR(INDEX(_Datos!C:C,MATCH(326,_Datos!$I:$I,0)),"")</f>
        <v/>
      </c>
      <c r="D333" s="68" t="str">
        <f>IFERROR(INDEX(_Datos!D:D,MATCH(326,_Datos!$I:$I,0)),"")</f>
        <v/>
      </c>
      <c r="E333" s="69" t="str">
        <f>IFERROR(INDEX(_Datos!E:E,MATCH(326,_Datos!$I:$I,0)),"")</f>
        <v/>
      </c>
      <c r="F333" s="67" t="str">
        <f>IFERROR(INDEX(_Datos!F:F,MATCH(326,_Datos!$I:$I,0)),"")</f>
        <v/>
      </c>
      <c r="G333" s="67" t="str">
        <f>IFERROR(INDEX(_Datos!G:G,MATCH(326,_Datos!$I:$I,0)),"")</f>
        <v/>
      </c>
      <c r="H333" s="70" t="str">
        <f>IFERROR(INDEX(_Datos!H:H,MATCH(326,_Datos!$I:$I,0)),"")</f>
        <v/>
      </c>
    </row>
    <row r="334" spans="1:8" x14ac:dyDescent="0.2">
      <c r="A334" s="63" t="str">
        <f>IFERROR(INDEX(_Datos!A:A,MATCH(327,_Datos!$I:$I,0)),"")</f>
        <v/>
      </c>
      <c r="B334" s="63" t="str">
        <f>IFERROR(INDEX(_Datos!B:B,MATCH(327,_Datos!$I:$I,0)),"")</f>
        <v/>
      </c>
      <c r="C334" s="63" t="str">
        <f>IFERROR(INDEX(_Datos!C:C,MATCH(327,_Datos!$I:$I,0)),"")</f>
        <v/>
      </c>
      <c r="D334" s="64" t="str">
        <f>IFERROR(INDEX(_Datos!D:D,MATCH(327,_Datos!$I:$I,0)),"")</f>
        <v/>
      </c>
      <c r="E334" s="65" t="str">
        <f>IFERROR(INDEX(_Datos!E:E,MATCH(327,_Datos!$I:$I,0)),"")</f>
        <v/>
      </c>
      <c r="F334" s="63" t="str">
        <f>IFERROR(INDEX(_Datos!F:F,MATCH(327,_Datos!$I:$I,0)),"")</f>
        <v/>
      </c>
      <c r="G334" s="63" t="str">
        <f>IFERROR(INDEX(_Datos!G:G,MATCH(327,_Datos!$I:$I,0)),"")</f>
        <v/>
      </c>
      <c r="H334" s="66" t="str">
        <f>IFERROR(INDEX(_Datos!H:H,MATCH(327,_Datos!$I:$I,0)),"")</f>
        <v/>
      </c>
    </row>
    <row r="335" spans="1:8" x14ac:dyDescent="0.2">
      <c r="A335" s="67" t="str">
        <f>IFERROR(INDEX(_Datos!A:A,MATCH(328,_Datos!$I:$I,0)),"")</f>
        <v/>
      </c>
      <c r="B335" s="67" t="str">
        <f>IFERROR(INDEX(_Datos!B:B,MATCH(328,_Datos!$I:$I,0)),"")</f>
        <v/>
      </c>
      <c r="C335" s="67" t="str">
        <f>IFERROR(INDEX(_Datos!C:C,MATCH(328,_Datos!$I:$I,0)),"")</f>
        <v/>
      </c>
      <c r="D335" s="68" t="str">
        <f>IFERROR(INDEX(_Datos!D:D,MATCH(328,_Datos!$I:$I,0)),"")</f>
        <v/>
      </c>
      <c r="E335" s="69" t="str">
        <f>IFERROR(INDEX(_Datos!E:E,MATCH(328,_Datos!$I:$I,0)),"")</f>
        <v/>
      </c>
      <c r="F335" s="67" t="str">
        <f>IFERROR(INDEX(_Datos!F:F,MATCH(328,_Datos!$I:$I,0)),"")</f>
        <v/>
      </c>
      <c r="G335" s="67" t="str">
        <f>IFERROR(INDEX(_Datos!G:G,MATCH(328,_Datos!$I:$I,0)),"")</f>
        <v/>
      </c>
      <c r="H335" s="70" t="str">
        <f>IFERROR(INDEX(_Datos!H:H,MATCH(328,_Datos!$I:$I,0)),"")</f>
        <v/>
      </c>
    </row>
    <row r="336" spans="1:8" x14ac:dyDescent="0.2">
      <c r="A336" s="63" t="str">
        <f>IFERROR(INDEX(_Datos!A:A,MATCH(329,_Datos!$I:$I,0)),"")</f>
        <v/>
      </c>
      <c r="B336" s="63" t="str">
        <f>IFERROR(INDEX(_Datos!B:B,MATCH(329,_Datos!$I:$I,0)),"")</f>
        <v/>
      </c>
      <c r="C336" s="63" t="str">
        <f>IFERROR(INDEX(_Datos!C:C,MATCH(329,_Datos!$I:$I,0)),"")</f>
        <v/>
      </c>
      <c r="D336" s="64" t="str">
        <f>IFERROR(INDEX(_Datos!D:D,MATCH(329,_Datos!$I:$I,0)),"")</f>
        <v/>
      </c>
      <c r="E336" s="65" t="str">
        <f>IFERROR(INDEX(_Datos!E:E,MATCH(329,_Datos!$I:$I,0)),"")</f>
        <v/>
      </c>
      <c r="F336" s="63" t="str">
        <f>IFERROR(INDEX(_Datos!F:F,MATCH(329,_Datos!$I:$I,0)),"")</f>
        <v/>
      </c>
      <c r="G336" s="63" t="str">
        <f>IFERROR(INDEX(_Datos!G:G,MATCH(329,_Datos!$I:$I,0)),"")</f>
        <v/>
      </c>
      <c r="H336" s="66" t="str">
        <f>IFERROR(INDEX(_Datos!H:H,MATCH(329,_Datos!$I:$I,0)),"")</f>
        <v/>
      </c>
    </row>
    <row r="337" spans="1:8" x14ac:dyDescent="0.2">
      <c r="A337" s="67" t="str">
        <f>IFERROR(INDEX(_Datos!A:A,MATCH(330,_Datos!$I:$I,0)),"")</f>
        <v/>
      </c>
      <c r="B337" s="67" t="str">
        <f>IFERROR(INDEX(_Datos!B:B,MATCH(330,_Datos!$I:$I,0)),"")</f>
        <v/>
      </c>
      <c r="C337" s="67" t="str">
        <f>IFERROR(INDEX(_Datos!C:C,MATCH(330,_Datos!$I:$I,0)),"")</f>
        <v/>
      </c>
      <c r="D337" s="68" t="str">
        <f>IFERROR(INDEX(_Datos!D:D,MATCH(330,_Datos!$I:$I,0)),"")</f>
        <v/>
      </c>
      <c r="E337" s="69" t="str">
        <f>IFERROR(INDEX(_Datos!E:E,MATCH(330,_Datos!$I:$I,0)),"")</f>
        <v/>
      </c>
      <c r="F337" s="67" t="str">
        <f>IFERROR(INDEX(_Datos!F:F,MATCH(330,_Datos!$I:$I,0)),"")</f>
        <v/>
      </c>
      <c r="G337" s="67" t="str">
        <f>IFERROR(INDEX(_Datos!G:G,MATCH(330,_Datos!$I:$I,0)),"")</f>
        <v/>
      </c>
      <c r="H337" s="70" t="str">
        <f>IFERROR(INDEX(_Datos!H:H,MATCH(330,_Datos!$I:$I,0)),"")</f>
        <v/>
      </c>
    </row>
    <row r="338" spans="1:8" x14ac:dyDescent="0.2">
      <c r="A338" s="63" t="str">
        <f>IFERROR(INDEX(_Datos!A:A,MATCH(331,_Datos!$I:$I,0)),"")</f>
        <v/>
      </c>
      <c r="B338" s="63" t="str">
        <f>IFERROR(INDEX(_Datos!B:B,MATCH(331,_Datos!$I:$I,0)),"")</f>
        <v/>
      </c>
      <c r="C338" s="63" t="str">
        <f>IFERROR(INDEX(_Datos!C:C,MATCH(331,_Datos!$I:$I,0)),"")</f>
        <v/>
      </c>
      <c r="D338" s="64" t="str">
        <f>IFERROR(INDEX(_Datos!D:D,MATCH(331,_Datos!$I:$I,0)),"")</f>
        <v/>
      </c>
      <c r="E338" s="65" t="str">
        <f>IFERROR(INDEX(_Datos!E:E,MATCH(331,_Datos!$I:$I,0)),"")</f>
        <v/>
      </c>
      <c r="F338" s="63" t="str">
        <f>IFERROR(INDEX(_Datos!F:F,MATCH(331,_Datos!$I:$I,0)),"")</f>
        <v/>
      </c>
      <c r="G338" s="63" t="str">
        <f>IFERROR(INDEX(_Datos!G:G,MATCH(331,_Datos!$I:$I,0)),"")</f>
        <v/>
      </c>
      <c r="H338" s="66" t="str">
        <f>IFERROR(INDEX(_Datos!H:H,MATCH(331,_Datos!$I:$I,0)),"")</f>
        <v/>
      </c>
    </row>
    <row r="339" spans="1:8" x14ac:dyDescent="0.2">
      <c r="A339" s="67" t="str">
        <f>IFERROR(INDEX(_Datos!A:A,MATCH(332,_Datos!$I:$I,0)),"")</f>
        <v/>
      </c>
      <c r="B339" s="67" t="str">
        <f>IFERROR(INDEX(_Datos!B:B,MATCH(332,_Datos!$I:$I,0)),"")</f>
        <v/>
      </c>
      <c r="C339" s="67" t="str">
        <f>IFERROR(INDEX(_Datos!C:C,MATCH(332,_Datos!$I:$I,0)),"")</f>
        <v/>
      </c>
      <c r="D339" s="68" t="str">
        <f>IFERROR(INDEX(_Datos!D:D,MATCH(332,_Datos!$I:$I,0)),"")</f>
        <v/>
      </c>
      <c r="E339" s="69" t="str">
        <f>IFERROR(INDEX(_Datos!E:E,MATCH(332,_Datos!$I:$I,0)),"")</f>
        <v/>
      </c>
      <c r="F339" s="67" t="str">
        <f>IFERROR(INDEX(_Datos!F:F,MATCH(332,_Datos!$I:$I,0)),"")</f>
        <v/>
      </c>
      <c r="G339" s="67" t="str">
        <f>IFERROR(INDEX(_Datos!G:G,MATCH(332,_Datos!$I:$I,0)),"")</f>
        <v/>
      </c>
      <c r="H339" s="70" t="str">
        <f>IFERROR(INDEX(_Datos!H:H,MATCH(332,_Datos!$I:$I,0)),"")</f>
        <v/>
      </c>
    </row>
    <row r="340" spans="1:8" x14ac:dyDescent="0.2">
      <c r="A340" s="63" t="str">
        <f>IFERROR(INDEX(_Datos!A:A,MATCH(333,_Datos!$I:$I,0)),"")</f>
        <v/>
      </c>
      <c r="B340" s="63" t="str">
        <f>IFERROR(INDEX(_Datos!B:B,MATCH(333,_Datos!$I:$I,0)),"")</f>
        <v/>
      </c>
      <c r="C340" s="63" t="str">
        <f>IFERROR(INDEX(_Datos!C:C,MATCH(333,_Datos!$I:$I,0)),"")</f>
        <v/>
      </c>
      <c r="D340" s="64" t="str">
        <f>IFERROR(INDEX(_Datos!D:D,MATCH(333,_Datos!$I:$I,0)),"")</f>
        <v/>
      </c>
      <c r="E340" s="65" t="str">
        <f>IFERROR(INDEX(_Datos!E:E,MATCH(333,_Datos!$I:$I,0)),"")</f>
        <v/>
      </c>
      <c r="F340" s="63" t="str">
        <f>IFERROR(INDEX(_Datos!F:F,MATCH(333,_Datos!$I:$I,0)),"")</f>
        <v/>
      </c>
      <c r="G340" s="63" t="str">
        <f>IFERROR(INDEX(_Datos!G:G,MATCH(333,_Datos!$I:$I,0)),"")</f>
        <v/>
      </c>
      <c r="H340" s="66" t="str">
        <f>IFERROR(INDEX(_Datos!H:H,MATCH(333,_Datos!$I:$I,0)),"")</f>
        <v/>
      </c>
    </row>
    <row r="341" spans="1:8" x14ac:dyDescent="0.2">
      <c r="A341" s="67" t="str">
        <f>IFERROR(INDEX(_Datos!A:A,MATCH(334,_Datos!$I:$I,0)),"")</f>
        <v/>
      </c>
      <c r="B341" s="67" t="str">
        <f>IFERROR(INDEX(_Datos!B:B,MATCH(334,_Datos!$I:$I,0)),"")</f>
        <v/>
      </c>
      <c r="C341" s="67" t="str">
        <f>IFERROR(INDEX(_Datos!C:C,MATCH(334,_Datos!$I:$I,0)),"")</f>
        <v/>
      </c>
      <c r="D341" s="68" t="str">
        <f>IFERROR(INDEX(_Datos!D:D,MATCH(334,_Datos!$I:$I,0)),"")</f>
        <v/>
      </c>
      <c r="E341" s="69" t="str">
        <f>IFERROR(INDEX(_Datos!E:E,MATCH(334,_Datos!$I:$I,0)),"")</f>
        <v/>
      </c>
      <c r="F341" s="67" t="str">
        <f>IFERROR(INDEX(_Datos!F:F,MATCH(334,_Datos!$I:$I,0)),"")</f>
        <v/>
      </c>
      <c r="G341" s="67" t="str">
        <f>IFERROR(INDEX(_Datos!G:G,MATCH(334,_Datos!$I:$I,0)),"")</f>
        <v/>
      </c>
      <c r="H341" s="70" t="str">
        <f>IFERROR(INDEX(_Datos!H:H,MATCH(334,_Datos!$I:$I,0)),"")</f>
        <v/>
      </c>
    </row>
    <row r="342" spans="1:8" x14ac:dyDescent="0.2">
      <c r="A342" s="63" t="str">
        <f>IFERROR(INDEX(_Datos!A:A,MATCH(335,_Datos!$I:$I,0)),"")</f>
        <v/>
      </c>
      <c r="B342" s="63" t="str">
        <f>IFERROR(INDEX(_Datos!B:B,MATCH(335,_Datos!$I:$I,0)),"")</f>
        <v/>
      </c>
      <c r="C342" s="63" t="str">
        <f>IFERROR(INDEX(_Datos!C:C,MATCH(335,_Datos!$I:$I,0)),"")</f>
        <v/>
      </c>
      <c r="D342" s="64" t="str">
        <f>IFERROR(INDEX(_Datos!D:D,MATCH(335,_Datos!$I:$I,0)),"")</f>
        <v/>
      </c>
      <c r="E342" s="65" t="str">
        <f>IFERROR(INDEX(_Datos!E:E,MATCH(335,_Datos!$I:$I,0)),"")</f>
        <v/>
      </c>
      <c r="F342" s="63" t="str">
        <f>IFERROR(INDEX(_Datos!F:F,MATCH(335,_Datos!$I:$I,0)),"")</f>
        <v/>
      </c>
      <c r="G342" s="63" t="str">
        <f>IFERROR(INDEX(_Datos!G:G,MATCH(335,_Datos!$I:$I,0)),"")</f>
        <v/>
      </c>
      <c r="H342" s="66" t="str">
        <f>IFERROR(INDEX(_Datos!H:H,MATCH(335,_Datos!$I:$I,0)),"")</f>
        <v/>
      </c>
    </row>
    <row r="343" spans="1:8" x14ac:dyDescent="0.2">
      <c r="A343" s="67" t="str">
        <f>IFERROR(INDEX(_Datos!A:A,MATCH(336,_Datos!$I:$I,0)),"")</f>
        <v/>
      </c>
      <c r="B343" s="67" t="str">
        <f>IFERROR(INDEX(_Datos!B:B,MATCH(336,_Datos!$I:$I,0)),"")</f>
        <v/>
      </c>
      <c r="C343" s="67" t="str">
        <f>IFERROR(INDEX(_Datos!C:C,MATCH(336,_Datos!$I:$I,0)),"")</f>
        <v/>
      </c>
      <c r="D343" s="68" t="str">
        <f>IFERROR(INDEX(_Datos!D:D,MATCH(336,_Datos!$I:$I,0)),"")</f>
        <v/>
      </c>
      <c r="E343" s="69" t="str">
        <f>IFERROR(INDEX(_Datos!E:E,MATCH(336,_Datos!$I:$I,0)),"")</f>
        <v/>
      </c>
      <c r="F343" s="67" t="str">
        <f>IFERROR(INDEX(_Datos!F:F,MATCH(336,_Datos!$I:$I,0)),"")</f>
        <v/>
      </c>
      <c r="G343" s="67" t="str">
        <f>IFERROR(INDEX(_Datos!G:G,MATCH(336,_Datos!$I:$I,0)),"")</f>
        <v/>
      </c>
      <c r="H343" s="70" t="str">
        <f>IFERROR(INDEX(_Datos!H:H,MATCH(336,_Datos!$I:$I,0)),"")</f>
        <v/>
      </c>
    </row>
    <row r="344" spans="1:8" x14ac:dyDescent="0.2">
      <c r="A344" s="63" t="str">
        <f>IFERROR(INDEX(_Datos!A:A,MATCH(337,_Datos!$I:$I,0)),"")</f>
        <v/>
      </c>
      <c r="B344" s="63" t="str">
        <f>IFERROR(INDEX(_Datos!B:B,MATCH(337,_Datos!$I:$I,0)),"")</f>
        <v/>
      </c>
      <c r="C344" s="63" t="str">
        <f>IFERROR(INDEX(_Datos!C:C,MATCH(337,_Datos!$I:$I,0)),"")</f>
        <v/>
      </c>
      <c r="D344" s="64" t="str">
        <f>IFERROR(INDEX(_Datos!D:D,MATCH(337,_Datos!$I:$I,0)),"")</f>
        <v/>
      </c>
      <c r="E344" s="65" t="str">
        <f>IFERROR(INDEX(_Datos!E:E,MATCH(337,_Datos!$I:$I,0)),"")</f>
        <v/>
      </c>
      <c r="F344" s="63" t="str">
        <f>IFERROR(INDEX(_Datos!F:F,MATCH(337,_Datos!$I:$I,0)),"")</f>
        <v/>
      </c>
      <c r="G344" s="63" t="str">
        <f>IFERROR(INDEX(_Datos!G:G,MATCH(337,_Datos!$I:$I,0)),"")</f>
        <v/>
      </c>
      <c r="H344" s="66" t="str">
        <f>IFERROR(INDEX(_Datos!H:H,MATCH(337,_Datos!$I:$I,0)),"")</f>
        <v/>
      </c>
    </row>
    <row r="345" spans="1:8" x14ac:dyDescent="0.2">
      <c r="A345" s="67" t="str">
        <f>IFERROR(INDEX(_Datos!A:A,MATCH(338,_Datos!$I:$I,0)),"")</f>
        <v/>
      </c>
      <c r="B345" s="67" t="str">
        <f>IFERROR(INDEX(_Datos!B:B,MATCH(338,_Datos!$I:$I,0)),"")</f>
        <v/>
      </c>
      <c r="C345" s="67" t="str">
        <f>IFERROR(INDEX(_Datos!C:C,MATCH(338,_Datos!$I:$I,0)),"")</f>
        <v/>
      </c>
      <c r="D345" s="68" t="str">
        <f>IFERROR(INDEX(_Datos!D:D,MATCH(338,_Datos!$I:$I,0)),"")</f>
        <v/>
      </c>
      <c r="E345" s="69" t="str">
        <f>IFERROR(INDEX(_Datos!E:E,MATCH(338,_Datos!$I:$I,0)),"")</f>
        <v/>
      </c>
      <c r="F345" s="67" t="str">
        <f>IFERROR(INDEX(_Datos!F:F,MATCH(338,_Datos!$I:$I,0)),"")</f>
        <v/>
      </c>
      <c r="G345" s="67" t="str">
        <f>IFERROR(INDEX(_Datos!G:G,MATCH(338,_Datos!$I:$I,0)),"")</f>
        <v/>
      </c>
      <c r="H345" s="70" t="str">
        <f>IFERROR(INDEX(_Datos!H:H,MATCH(338,_Datos!$I:$I,0)),"")</f>
        <v/>
      </c>
    </row>
    <row r="346" spans="1:8" x14ac:dyDescent="0.2">
      <c r="A346" s="63" t="str">
        <f>IFERROR(INDEX(_Datos!A:A,MATCH(339,_Datos!$I:$I,0)),"")</f>
        <v/>
      </c>
      <c r="B346" s="63" t="str">
        <f>IFERROR(INDEX(_Datos!B:B,MATCH(339,_Datos!$I:$I,0)),"")</f>
        <v/>
      </c>
      <c r="C346" s="63" t="str">
        <f>IFERROR(INDEX(_Datos!C:C,MATCH(339,_Datos!$I:$I,0)),"")</f>
        <v/>
      </c>
      <c r="D346" s="64" t="str">
        <f>IFERROR(INDEX(_Datos!D:D,MATCH(339,_Datos!$I:$I,0)),"")</f>
        <v/>
      </c>
      <c r="E346" s="65" t="str">
        <f>IFERROR(INDEX(_Datos!E:E,MATCH(339,_Datos!$I:$I,0)),"")</f>
        <v/>
      </c>
      <c r="F346" s="63" t="str">
        <f>IFERROR(INDEX(_Datos!F:F,MATCH(339,_Datos!$I:$I,0)),"")</f>
        <v/>
      </c>
      <c r="G346" s="63" t="str">
        <f>IFERROR(INDEX(_Datos!G:G,MATCH(339,_Datos!$I:$I,0)),"")</f>
        <v/>
      </c>
      <c r="H346" s="66" t="str">
        <f>IFERROR(INDEX(_Datos!H:H,MATCH(339,_Datos!$I:$I,0)),"")</f>
        <v/>
      </c>
    </row>
    <row r="347" spans="1:8" x14ac:dyDescent="0.2">
      <c r="A347" s="67" t="str">
        <f>IFERROR(INDEX(_Datos!A:A,MATCH(340,_Datos!$I:$I,0)),"")</f>
        <v/>
      </c>
      <c r="B347" s="67" t="str">
        <f>IFERROR(INDEX(_Datos!B:B,MATCH(340,_Datos!$I:$I,0)),"")</f>
        <v/>
      </c>
      <c r="C347" s="67" t="str">
        <f>IFERROR(INDEX(_Datos!C:C,MATCH(340,_Datos!$I:$I,0)),"")</f>
        <v/>
      </c>
      <c r="D347" s="68" t="str">
        <f>IFERROR(INDEX(_Datos!D:D,MATCH(340,_Datos!$I:$I,0)),"")</f>
        <v/>
      </c>
      <c r="E347" s="69" t="str">
        <f>IFERROR(INDEX(_Datos!E:E,MATCH(340,_Datos!$I:$I,0)),"")</f>
        <v/>
      </c>
      <c r="F347" s="67" t="str">
        <f>IFERROR(INDEX(_Datos!F:F,MATCH(340,_Datos!$I:$I,0)),"")</f>
        <v/>
      </c>
      <c r="G347" s="67" t="str">
        <f>IFERROR(INDEX(_Datos!G:G,MATCH(340,_Datos!$I:$I,0)),"")</f>
        <v/>
      </c>
      <c r="H347" s="70" t="str">
        <f>IFERROR(INDEX(_Datos!H:H,MATCH(340,_Datos!$I:$I,0)),"")</f>
        <v/>
      </c>
    </row>
    <row r="348" spans="1:8" x14ac:dyDescent="0.2">
      <c r="A348" s="63" t="str">
        <f>IFERROR(INDEX(_Datos!A:A,MATCH(341,_Datos!$I:$I,0)),"")</f>
        <v/>
      </c>
      <c r="B348" s="63" t="str">
        <f>IFERROR(INDEX(_Datos!B:B,MATCH(341,_Datos!$I:$I,0)),"")</f>
        <v/>
      </c>
      <c r="C348" s="63" t="str">
        <f>IFERROR(INDEX(_Datos!C:C,MATCH(341,_Datos!$I:$I,0)),"")</f>
        <v/>
      </c>
      <c r="D348" s="64" t="str">
        <f>IFERROR(INDEX(_Datos!D:D,MATCH(341,_Datos!$I:$I,0)),"")</f>
        <v/>
      </c>
      <c r="E348" s="65" t="str">
        <f>IFERROR(INDEX(_Datos!E:E,MATCH(341,_Datos!$I:$I,0)),"")</f>
        <v/>
      </c>
      <c r="F348" s="63" t="str">
        <f>IFERROR(INDEX(_Datos!F:F,MATCH(341,_Datos!$I:$I,0)),"")</f>
        <v/>
      </c>
      <c r="G348" s="63" t="str">
        <f>IFERROR(INDEX(_Datos!G:G,MATCH(341,_Datos!$I:$I,0)),"")</f>
        <v/>
      </c>
      <c r="H348" s="66" t="str">
        <f>IFERROR(INDEX(_Datos!H:H,MATCH(341,_Datos!$I:$I,0)),"")</f>
        <v/>
      </c>
    </row>
    <row r="349" spans="1:8" x14ac:dyDescent="0.2">
      <c r="A349" s="67" t="str">
        <f>IFERROR(INDEX(_Datos!A:A,MATCH(342,_Datos!$I:$I,0)),"")</f>
        <v/>
      </c>
      <c r="B349" s="67" t="str">
        <f>IFERROR(INDEX(_Datos!B:B,MATCH(342,_Datos!$I:$I,0)),"")</f>
        <v/>
      </c>
      <c r="C349" s="67" t="str">
        <f>IFERROR(INDEX(_Datos!C:C,MATCH(342,_Datos!$I:$I,0)),"")</f>
        <v/>
      </c>
      <c r="D349" s="68" t="str">
        <f>IFERROR(INDEX(_Datos!D:D,MATCH(342,_Datos!$I:$I,0)),"")</f>
        <v/>
      </c>
      <c r="E349" s="69" t="str">
        <f>IFERROR(INDEX(_Datos!E:E,MATCH(342,_Datos!$I:$I,0)),"")</f>
        <v/>
      </c>
      <c r="F349" s="67" t="str">
        <f>IFERROR(INDEX(_Datos!F:F,MATCH(342,_Datos!$I:$I,0)),"")</f>
        <v/>
      </c>
      <c r="G349" s="67" t="str">
        <f>IFERROR(INDEX(_Datos!G:G,MATCH(342,_Datos!$I:$I,0)),"")</f>
        <v/>
      </c>
      <c r="H349" s="70" t="str">
        <f>IFERROR(INDEX(_Datos!H:H,MATCH(342,_Datos!$I:$I,0)),"")</f>
        <v/>
      </c>
    </row>
    <row r="350" spans="1:8" x14ac:dyDescent="0.2">
      <c r="A350" s="63" t="str">
        <f>IFERROR(INDEX(_Datos!A:A,MATCH(343,_Datos!$I:$I,0)),"")</f>
        <v/>
      </c>
      <c r="B350" s="63" t="str">
        <f>IFERROR(INDEX(_Datos!B:B,MATCH(343,_Datos!$I:$I,0)),"")</f>
        <v/>
      </c>
      <c r="C350" s="63" t="str">
        <f>IFERROR(INDEX(_Datos!C:C,MATCH(343,_Datos!$I:$I,0)),"")</f>
        <v/>
      </c>
      <c r="D350" s="64" t="str">
        <f>IFERROR(INDEX(_Datos!D:D,MATCH(343,_Datos!$I:$I,0)),"")</f>
        <v/>
      </c>
      <c r="E350" s="65" t="str">
        <f>IFERROR(INDEX(_Datos!E:E,MATCH(343,_Datos!$I:$I,0)),"")</f>
        <v/>
      </c>
      <c r="F350" s="63" t="str">
        <f>IFERROR(INDEX(_Datos!F:F,MATCH(343,_Datos!$I:$I,0)),"")</f>
        <v/>
      </c>
      <c r="G350" s="63" t="str">
        <f>IFERROR(INDEX(_Datos!G:G,MATCH(343,_Datos!$I:$I,0)),"")</f>
        <v/>
      </c>
      <c r="H350" s="66" t="str">
        <f>IFERROR(INDEX(_Datos!H:H,MATCH(343,_Datos!$I:$I,0)),"")</f>
        <v/>
      </c>
    </row>
    <row r="351" spans="1:8" x14ac:dyDescent="0.2">
      <c r="A351" s="67" t="str">
        <f>IFERROR(INDEX(_Datos!A:A,MATCH(344,_Datos!$I:$I,0)),"")</f>
        <v/>
      </c>
      <c r="B351" s="67" t="str">
        <f>IFERROR(INDEX(_Datos!B:B,MATCH(344,_Datos!$I:$I,0)),"")</f>
        <v/>
      </c>
      <c r="C351" s="67" t="str">
        <f>IFERROR(INDEX(_Datos!C:C,MATCH(344,_Datos!$I:$I,0)),"")</f>
        <v/>
      </c>
      <c r="D351" s="68" t="str">
        <f>IFERROR(INDEX(_Datos!D:D,MATCH(344,_Datos!$I:$I,0)),"")</f>
        <v/>
      </c>
      <c r="E351" s="69" t="str">
        <f>IFERROR(INDEX(_Datos!E:E,MATCH(344,_Datos!$I:$I,0)),"")</f>
        <v/>
      </c>
      <c r="F351" s="67" t="str">
        <f>IFERROR(INDEX(_Datos!F:F,MATCH(344,_Datos!$I:$I,0)),"")</f>
        <v/>
      </c>
      <c r="G351" s="67" t="str">
        <f>IFERROR(INDEX(_Datos!G:G,MATCH(344,_Datos!$I:$I,0)),"")</f>
        <v/>
      </c>
      <c r="H351" s="70" t="str">
        <f>IFERROR(INDEX(_Datos!H:H,MATCH(344,_Datos!$I:$I,0)),"")</f>
        <v/>
      </c>
    </row>
    <row r="352" spans="1:8" x14ac:dyDescent="0.2">
      <c r="A352" s="63" t="str">
        <f>IFERROR(INDEX(_Datos!A:A,MATCH(345,_Datos!$I:$I,0)),"")</f>
        <v/>
      </c>
      <c r="B352" s="63" t="str">
        <f>IFERROR(INDEX(_Datos!B:B,MATCH(345,_Datos!$I:$I,0)),"")</f>
        <v/>
      </c>
      <c r="C352" s="63" t="str">
        <f>IFERROR(INDEX(_Datos!C:C,MATCH(345,_Datos!$I:$I,0)),"")</f>
        <v/>
      </c>
      <c r="D352" s="64" t="str">
        <f>IFERROR(INDEX(_Datos!D:D,MATCH(345,_Datos!$I:$I,0)),"")</f>
        <v/>
      </c>
      <c r="E352" s="65" t="str">
        <f>IFERROR(INDEX(_Datos!E:E,MATCH(345,_Datos!$I:$I,0)),"")</f>
        <v/>
      </c>
      <c r="F352" s="63" t="str">
        <f>IFERROR(INDEX(_Datos!F:F,MATCH(345,_Datos!$I:$I,0)),"")</f>
        <v/>
      </c>
      <c r="G352" s="63" t="str">
        <f>IFERROR(INDEX(_Datos!G:G,MATCH(345,_Datos!$I:$I,0)),"")</f>
        <v/>
      </c>
      <c r="H352" s="66" t="str">
        <f>IFERROR(INDEX(_Datos!H:H,MATCH(345,_Datos!$I:$I,0)),"")</f>
        <v/>
      </c>
    </row>
    <row r="353" spans="1:8" x14ac:dyDescent="0.2">
      <c r="A353" s="67" t="str">
        <f>IFERROR(INDEX(_Datos!A:A,MATCH(346,_Datos!$I:$I,0)),"")</f>
        <v/>
      </c>
      <c r="B353" s="67" t="str">
        <f>IFERROR(INDEX(_Datos!B:B,MATCH(346,_Datos!$I:$I,0)),"")</f>
        <v/>
      </c>
      <c r="C353" s="67" t="str">
        <f>IFERROR(INDEX(_Datos!C:C,MATCH(346,_Datos!$I:$I,0)),"")</f>
        <v/>
      </c>
      <c r="D353" s="68" t="str">
        <f>IFERROR(INDEX(_Datos!D:D,MATCH(346,_Datos!$I:$I,0)),"")</f>
        <v/>
      </c>
      <c r="E353" s="69" t="str">
        <f>IFERROR(INDEX(_Datos!E:E,MATCH(346,_Datos!$I:$I,0)),"")</f>
        <v/>
      </c>
      <c r="F353" s="67" t="str">
        <f>IFERROR(INDEX(_Datos!F:F,MATCH(346,_Datos!$I:$I,0)),"")</f>
        <v/>
      </c>
      <c r="G353" s="67" t="str">
        <f>IFERROR(INDEX(_Datos!G:G,MATCH(346,_Datos!$I:$I,0)),"")</f>
        <v/>
      </c>
      <c r="H353" s="70" t="str">
        <f>IFERROR(INDEX(_Datos!H:H,MATCH(346,_Datos!$I:$I,0)),"")</f>
        <v/>
      </c>
    </row>
    <row r="354" spans="1:8" x14ac:dyDescent="0.2">
      <c r="A354" s="63" t="str">
        <f>IFERROR(INDEX(_Datos!A:A,MATCH(347,_Datos!$I:$I,0)),"")</f>
        <v/>
      </c>
      <c r="B354" s="63" t="str">
        <f>IFERROR(INDEX(_Datos!B:B,MATCH(347,_Datos!$I:$I,0)),"")</f>
        <v/>
      </c>
      <c r="C354" s="63" t="str">
        <f>IFERROR(INDEX(_Datos!C:C,MATCH(347,_Datos!$I:$I,0)),"")</f>
        <v/>
      </c>
      <c r="D354" s="64" t="str">
        <f>IFERROR(INDEX(_Datos!D:D,MATCH(347,_Datos!$I:$I,0)),"")</f>
        <v/>
      </c>
      <c r="E354" s="65" t="str">
        <f>IFERROR(INDEX(_Datos!E:E,MATCH(347,_Datos!$I:$I,0)),"")</f>
        <v/>
      </c>
      <c r="F354" s="63" t="str">
        <f>IFERROR(INDEX(_Datos!F:F,MATCH(347,_Datos!$I:$I,0)),"")</f>
        <v/>
      </c>
      <c r="G354" s="63" t="str">
        <f>IFERROR(INDEX(_Datos!G:G,MATCH(347,_Datos!$I:$I,0)),"")</f>
        <v/>
      </c>
      <c r="H354" s="66" t="str">
        <f>IFERROR(INDEX(_Datos!H:H,MATCH(347,_Datos!$I:$I,0)),"")</f>
        <v/>
      </c>
    </row>
    <row r="355" spans="1:8" x14ac:dyDescent="0.2">
      <c r="A355" s="67" t="str">
        <f>IFERROR(INDEX(_Datos!A:A,MATCH(348,_Datos!$I:$I,0)),"")</f>
        <v/>
      </c>
      <c r="B355" s="67" t="str">
        <f>IFERROR(INDEX(_Datos!B:B,MATCH(348,_Datos!$I:$I,0)),"")</f>
        <v/>
      </c>
      <c r="C355" s="67" t="str">
        <f>IFERROR(INDEX(_Datos!C:C,MATCH(348,_Datos!$I:$I,0)),"")</f>
        <v/>
      </c>
      <c r="D355" s="68" t="str">
        <f>IFERROR(INDEX(_Datos!D:D,MATCH(348,_Datos!$I:$I,0)),"")</f>
        <v/>
      </c>
      <c r="E355" s="69" t="str">
        <f>IFERROR(INDEX(_Datos!E:E,MATCH(348,_Datos!$I:$I,0)),"")</f>
        <v/>
      </c>
      <c r="F355" s="67" t="str">
        <f>IFERROR(INDEX(_Datos!F:F,MATCH(348,_Datos!$I:$I,0)),"")</f>
        <v/>
      </c>
      <c r="G355" s="67" t="str">
        <f>IFERROR(INDEX(_Datos!G:G,MATCH(348,_Datos!$I:$I,0)),"")</f>
        <v/>
      </c>
      <c r="H355" s="70" t="str">
        <f>IFERROR(INDEX(_Datos!H:H,MATCH(348,_Datos!$I:$I,0)),"")</f>
        <v/>
      </c>
    </row>
    <row r="356" spans="1:8" x14ac:dyDescent="0.2">
      <c r="A356" s="63" t="str">
        <f>IFERROR(INDEX(_Datos!A:A,MATCH(349,_Datos!$I:$I,0)),"")</f>
        <v/>
      </c>
      <c r="B356" s="63" t="str">
        <f>IFERROR(INDEX(_Datos!B:B,MATCH(349,_Datos!$I:$I,0)),"")</f>
        <v/>
      </c>
      <c r="C356" s="63" t="str">
        <f>IFERROR(INDEX(_Datos!C:C,MATCH(349,_Datos!$I:$I,0)),"")</f>
        <v/>
      </c>
      <c r="D356" s="64" t="str">
        <f>IFERROR(INDEX(_Datos!D:D,MATCH(349,_Datos!$I:$I,0)),"")</f>
        <v/>
      </c>
      <c r="E356" s="65" t="str">
        <f>IFERROR(INDEX(_Datos!E:E,MATCH(349,_Datos!$I:$I,0)),"")</f>
        <v/>
      </c>
      <c r="F356" s="63" t="str">
        <f>IFERROR(INDEX(_Datos!F:F,MATCH(349,_Datos!$I:$I,0)),"")</f>
        <v/>
      </c>
      <c r="G356" s="63" t="str">
        <f>IFERROR(INDEX(_Datos!G:G,MATCH(349,_Datos!$I:$I,0)),"")</f>
        <v/>
      </c>
      <c r="H356" s="66" t="str">
        <f>IFERROR(INDEX(_Datos!H:H,MATCH(349,_Datos!$I:$I,0)),"")</f>
        <v/>
      </c>
    </row>
    <row r="357" spans="1:8" x14ac:dyDescent="0.2">
      <c r="A357" s="67" t="str">
        <f>IFERROR(INDEX(_Datos!A:A,MATCH(350,_Datos!$I:$I,0)),"")</f>
        <v/>
      </c>
      <c r="B357" s="67" t="str">
        <f>IFERROR(INDEX(_Datos!B:B,MATCH(350,_Datos!$I:$I,0)),"")</f>
        <v/>
      </c>
      <c r="C357" s="67" t="str">
        <f>IFERROR(INDEX(_Datos!C:C,MATCH(350,_Datos!$I:$I,0)),"")</f>
        <v/>
      </c>
      <c r="D357" s="68" t="str">
        <f>IFERROR(INDEX(_Datos!D:D,MATCH(350,_Datos!$I:$I,0)),"")</f>
        <v/>
      </c>
      <c r="E357" s="69" t="str">
        <f>IFERROR(INDEX(_Datos!E:E,MATCH(350,_Datos!$I:$I,0)),"")</f>
        <v/>
      </c>
      <c r="F357" s="67" t="str">
        <f>IFERROR(INDEX(_Datos!F:F,MATCH(350,_Datos!$I:$I,0)),"")</f>
        <v/>
      </c>
      <c r="G357" s="67" t="str">
        <f>IFERROR(INDEX(_Datos!G:G,MATCH(350,_Datos!$I:$I,0)),"")</f>
        <v/>
      </c>
      <c r="H357" s="70" t="str">
        <f>IFERROR(INDEX(_Datos!H:H,MATCH(350,_Datos!$I:$I,0)),"")</f>
        <v/>
      </c>
    </row>
    <row r="358" spans="1:8" x14ac:dyDescent="0.2">
      <c r="A358" s="63" t="str">
        <f>IFERROR(INDEX(_Datos!A:A,MATCH(351,_Datos!$I:$I,0)),"")</f>
        <v/>
      </c>
      <c r="B358" s="63" t="str">
        <f>IFERROR(INDEX(_Datos!B:B,MATCH(351,_Datos!$I:$I,0)),"")</f>
        <v/>
      </c>
      <c r="C358" s="63" t="str">
        <f>IFERROR(INDEX(_Datos!C:C,MATCH(351,_Datos!$I:$I,0)),"")</f>
        <v/>
      </c>
      <c r="D358" s="64" t="str">
        <f>IFERROR(INDEX(_Datos!D:D,MATCH(351,_Datos!$I:$I,0)),"")</f>
        <v/>
      </c>
      <c r="E358" s="65" t="str">
        <f>IFERROR(INDEX(_Datos!E:E,MATCH(351,_Datos!$I:$I,0)),"")</f>
        <v/>
      </c>
      <c r="F358" s="63" t="str">
        <f>IFERROR(INDEX(_Datos!F:F,MATCH(351,_Datos!$I:$I,0)),"")</f>
        <v/>
      </c>
      <c r="G358" s="63" t="str">
        <f>IFERROR(INDEX(_Datos!G:G,MATCH(351,_Datos!$I:$I,0)),"")</f>
        <v/>
      </c>
      <c r="H358" s="66" t="str">
        <f>IFERROR(INDEX(_Datos!H:H,MATCH(351,_Datos!$I:$I,0)),"")</f>
        <v/>
      </c>
    </row>
    <row r="359" spans="1:8" x14ac:dyDescent="0.2">
      <c r="A359" s="67" t="str">
        <f>IFERROR(INDEX(_Datos!A:A,MATCH(352,_Datos!$I:$I,0)),"")</f>
        <v/>
      </c>
      <c r="B359" s="67" t="str">
        <f>IFERROR(INDEX(_Datos!B:B,MATCH(352,_Datos!$I:$I,0)),"")</f>
        <v/>
      </c>
      <c r="C359" s="67" t="str">
        <f>IFERROR(INDEX(_Datos!C:C,MATCH(352,_Datos!$I:$I,0)),"")</f>
        <v/>
      </c>
      <c r="D359" s="68" t="str">
        <f>IFERROR(INDEX(_Datos!D:D,MATCH(352,_Datos!$I:$I,0)),"")</f>
        <v/>
      </c>
      <c r="E359" s="69" t="str">
        <f>IFERROR(INDEX(_Datos!E:E,MATCH(352,_Datos!$I:$I,0)),"")</f>
        <v/>
      </c>
      <c r="F359" s="67" t="str">
        <f>IFERROR(INDEX(_Datos!F:F,MATCH(352,_Datos!$I:$I,0)),"")</f>
        <v/>
      </c>
      <c r="G359" s="67" t="str">
        <f>IFERROR(INDEX(_Datos!G:G,MATCH(352,_Datos!$I:$I,0)),"")</f>
        <v/>
      </c>
      <c r="H359" s="70" t="str">
        <f>IFERROR(INDEX(_Datos!H:H,MATCH(352,_Datos!$I:$I,0)),"")</f>
        <v/>
      </c>
    </row>
    <row r="360" spans="1:8" x14ac:dyDescent="0.2">
      <c r="A360" s="63" t="str">
        <f>IFERROR(INDEX(_Datos!A:A,MATCH(353,_Datos!$I:$I,0)),"")</f>
        <v/>
      </c>
      <c r="B360" s="63" t="str">
        <f>IFERROR(INDEX(_Datos!B:B,MATCH(353,_Datos!$I:$I,0)),"")</f>
        <v/>
      </c>
      <c r="C360" s="63" t="str">
        <f>IFERROR(INDEX(_Datos!C:C,MATCH(353,_Datos!$I:$I,0)),"")</f>
        <v/>
      </c>
      <c r="D360" s="64" t="str">
        <f>IFERROR(INDEX(_Datos!D:D,MATCH(353,_Datos!$I:$I,0)),"")</f>
        <v/>
      </c>
      <c r="E360" s="65" t="str">
        <f>IFERROR(INDEX(_Datos!E:E,MATCH(353,_Datos!$I:$I,0)),"")</f>
        <v/>
      </c>
      <c r="F360" s="63" t="str">
        <f>IFERROR(INDEX(_Datos!F:F,MATCH(353,_Datos!$I:$I,0)),"")</f>
        <v/>
      </c>
      <c r="G360" s="63" t="str">
        <f>IFERROR(INDEX(_Datos!G:G,MATCH(353,_Datos!$I:$I,0)),"")</f>
        <v/>
      </c>
      <c r="H360" s="66" t="str">
        <f>IFERROR(INDEX(_Datos!H:H,MATCH(353,_Datos!$I:$I,0)),"")</f>
        <v/>
      </c>
    </row>
    <row r="361" spans="1:8" x14ac:dyDescent="0.2">
      <c r="A361" s="67" t="str">
        <f>IFERROR(INDEX(_Datos!A:A,MATCH(354,_Datos!$I:$I,0)),"")</f>
        <v/>
      </c>
      <c r="B361" s="67" t="str">
        <f>IFERROR(INDEX(_Datos!B:B,MATCH(354,_Datos!$I:$I,0)),"")</f>
        <v/>
      </c>
      <c r="C361" s="67" t="str">
        <f>IFERROR(INDEX(_Datos!C:C,MATCH(354,_Datos!$I:$I,0)),"")</f>
        <v/>
      </c>
      <c r="D361" s="68" t="str">
        <f>IFERROR(INDEX(_Datos!D:D,MATCH(354,_Datos!$I:$I,0)),"")</f>
        <v/>
      </c>
      <c r="E361" s="69" t="str">
        <f>IFERROR(INDEX(_Datos!E:E,MATCH(354,_Datos!$I:$I,0)),"")</f>
        <v/>
      </c>
      <c r="F361" s="67" t="str">
        <f>IFERROR(INDEX(_Datos!F:F,MATCH(354,_Datos!$I:$I,0)),"")</f>
        <v/>
      </c>
      <c r="G361" s="67" t="str">
        <f>IFERROR(INDEX(_Datos!G:G,MATCH(354,_Datos!$I:$I,0)),"")</f>
        <v/>
      </c>
      <c r="H361" s="70" t="str">
        <f>IFERROR(INDEX(_Datos!H:H,MATCH(354,_Datos!$I:$I,0)),"")</f>
        <v/>
      </c>
    </row>
    <row r="362" spans="1:8" x14ac:dyDescent="0.2">
      <c r="A362" s="63" t="str">
        <f>IFERROR(INDEX(_Datos!A:A,MATCH(355,_Datos!$I:$I,0)),"")</f>
        <v/>
      </c>
      <c r="B362" s="63" t="str">
        <f>IFERROR(INDEX(_Datos!B:B,MATCH(355,_Datos!$I:$I,0)),"")</f>
        <v/>
      </c>
      <c r="C362" s="63" t="str">
        <f>IFERROR(INDEX(_Datos!C:C,MATCH(355,_Datos!$I:$I,0)),"")</f>
        <v/>
      </c>
      <c r="D362" s="64" t="str">
        <f>IFERROR(INDEX(_Datos!D:D,MATCH(355,_Datos!$I:$I,0)),"")</f>
        <v/>
      </c>
      <c r="E362" s="65" t="str">
        <f>IFERROR(INDEX(_Datos!E:E,MATCH(355,_Datos!$I:$I,0)),"")</f>
        <v/>
      </c>
      <c r="F362" s="63" t="str">
        <f>IFERROR(INDEX(_Datos!F:F,MATCH(355,_Datos!$I:$I,0)),"")</f>
        <v/>
      </c>
      <c r="G362" s="63" t="str">
        <f>IFERROR(INDEX(_Datos!G:G,MATCH(355,_Datos!$I:$I,0)),"")</f>
        <v/>
      </c>
      <c r="H362" s="66" t="str">
        <f>IFERROR(INDEX(_Datos!H:H,MATCH(355,_Datos!$I:$I,0)),"")</f>
        <v/>
      </c>
    </row>
    <row r="363" spans="1:8" x14ac:dyDescent="0.2">
      <c r="A363" s="67" t="str">
        <f>IFERROR(INDEX(_Datos!A:A,MATCH(356,_Datos!$I:$I,0)),"")</f>
        <v/>
      </c>
      <c r="B363" s="67" t="str">
        <f>IFERROR(INDEX(_Datos!B:B,MATCH(356,_Datos!$I:$I,0)),"")</f>
        <v/>
      </c>
      <c r="C363" s="67" t="str">
        <f>IFERROR(INDEX(_Datos!C:C,MATCH(356,_Datos!$I:$I,0)),"")</f>
        <v/>
      </c>
      <c r="D363" s="68" t="str">
        <f>IFERROR(INDEX(_Datos!D:D,MATCH(356,_Datos!$I:$I,0)),"")</f>
        <v/>
      </c>
      <c r="E363" s="69" t="str">
        <f>IFERROR(INDEX(_Datos!E:E,MATCH(356,_Datos!$I:$I,0)),"")</f>
        <v/>
      </c>
      <c r="F363" s="67" t="str">
        <f>IFERROR(INDEX(_Datos!F:F,MATCH(356,_Datos!$I:$I,0)),"")</f>
        <v/>
      </c>
      <c r="G363" s="67" t="str">
        <f>IFERROR(INDEX(_Datos!G:G,MATCH(356,_Datos!$I:$I,0)),"")</f>
        <v/>
      </c>
      <c r="H363" s="70" t="str">
        <f>IFERROR(INDEX(_Datos!H:H,MATCH(356,_Datos!$I:$I,0)),"")</f>
        <v/>
      </c>
    </row>
    <row r="364" spans="1:8" x14ac:dyDescent="0.2">
      <c r="A364" s="63" t="str">
        <f>IFERROR(INDEX(_Datos!A:A,MATCH(357,_Datos!$I:$I,0)),"")</f>
        <v/>
      </c>
      <c r="B364" s="63" t="str">
        <f>IFERROR(INDEX(_Datos!B:B,MATCH(357,_Datos!$I:$I,0)),"")</f>
        <v/>
      </c>
      <c r="C364" s="63" t="str">
        <f>IFERROR(INDEX(_Datos!C:C,MATCH(357,_Datos!$I:$I,0)),"")</f>
        <v/>
      </c>
      <c r="D364" s="64" t="str">
        <f>IFERROR(INDEX(_Datos!D:D,MATCH(357,_Datos!$I:$I,0)),"")</f>
        <v/>
      </c>
      <c r="E364" s="65" t="str">
        <f>IFERROR(INDEX(_Datos!E:E,MATCH(357,_Datos!$I:$I,0)),"")</f>
        <v/>
      </c>
      <c r="F364" s="63" t="str">
        <f>IFERROR(INDEX(_Datos!F:F,MATCH(357,_Datos!$I:$I,0)),"")</f>
        <v/>
      </c>
      <c r="G364" s="63" t="str">
        <f>IFERROR(INDEX(_Datos!G:G,MATCH(357,_Datos!$I:$I,0)),"")</f>
        <v/>
      </c>
      <c r="H364" s="66" t="str">
        <f>IFERROR(INDEX(_Datos!H:H,MATCH(357,_Datos!$I:$I,0)),"")</f>
        <v/>
      </c>
    </row>
    <row r="365" spans="1:8" x14ac:dyDescent="0.2">
      <c r="A365" s="67" t="str">
        <f>IFERROR(INDEX(_Datos!A:A,MATCH(358,_Datos!$I:$I,0)),"")</f>
        <v/>
      </c>
      <c r="B365" s="67" t="str">
        <f>IFERROR(INDEX(_Datos!B:B,MATCH(358,_Datos!$I:$I,0)),"")</f>
        <v/>
      </c>
      <c r="C365" s="67" t="str">
        <f>IFERROR(INDEX(_Datos!C:C,MATCH(358,_Datos!$I:$I,0)),"")</f>
        <v/>
      </c>
      <c r="D365" s="68" t="str">
        <f>IFERROR(INDEX(_Datos!D:D,MATCH(358,_Datos!$I:$I,0)),"")</f>
        <v/>
      </c>
      <c r="E365" s="69" t="str">
        <f>IFERROR(INDEX(_Datos!E:E,MATCH(358,_Datos!$I:$I,0)),"")</f>
        <v/>
      </c>
      <c r="F365" s="67" t="str">
        <f>IFERROR(INDEX(_Datos!F:F,MATCH(358,_Datos!$I:$I,0)),"")</f>
        <v/>
      </c>
      <c r="G365" s="67" t="str">
        <f>IFERROR(INDEX(_Datos!G:G,MATCH(358,_Datos!$I:$I,0)),"")</f>
        <v/>
      </c>
      <c r="H365" s="70" t="str">
        <f>IFERROR(INDEX(_Datos!H:H,MATCH(358,_Datos!$I:$I,0)),"")</f>
        <v/>
      </c>
    </row>
    <row r="366" spans="1:8" x14ac:dyDescent="0.2">
      <c r="A366" s="63" t="str">
        <f>IFERROR(INDEX(_Datos!A:A,MATCH(359,_Datos!$I:$I,0)),"")</f>
        <v/>
      </c>
      <c r="B366" s="63" t="str">
        <f>IFERROR(INDEX(_Datos!B:B,MATCH(359,_Datos!$I:$I,0)),"")</f>
        <v/>
      </c>
      <c r="C366" s="63" t="str">
        <f>IFERROR(INDEX(_Datos!C:C,MATCH(359,_Datos!$I:$I,0)),"")</f>
        <v/>
      </c>
      <c r="D366" s="64" t="str">
        <f>IFERROR(INDEX(_Datos!D:D,MATCH(359,_Datos!$I:$I,0)),"")</f>
        <v/>
      </c>
      <c r="E366" s="65" t="str">
        <f>IFERROR(INDEX(_Datos!E:E,MATCH(359,_Datos!$I:$I,0)),"")</f>
        <v/>
      </c>
      <c r="F366" s="63" t="str">
        <f>IFERROR(INDEX(_Datos!F:F,MATCH(359,_Datos!$I:$I,0)),"")</f>
        <v/>
      </c>
      <c r="G366" s="63" t="str">
        <f>IFERROR(INDEX(_Datos!G:G,MATCH(359,_Datos!$I:$I,0)),"")</f>
        <v/>
      </c>
      <c r="H366" s="66" t="str">
        <f>IFERROR(INDEX(_Datos!H:H,MATCH(359,_Datos!$I:$I,0)),"")</f>
        <v/>
      </c>
    </row>
    <row r="367" spans="1:8" x14ac:dyDescent="0.2">
      <c r="A367" s="67" t="str">
        <f>IFERROR(INDEX(_Datos!A:A,MATCH(360,_Datos!$I:$I,0)),"")</f>
        <v/>
      </c>
      <c r="B367" s="67" t="str">
        <f>IFERROR(INDEX(_Datos!B:B,MATCH(360,_Datos!$I:$I,0)),"")</f>
        <v/>
      </c>
      <c r="C367" s="67" t="str">
        <f>IFERROR(INDEX(_Datos!C:C,MATCH(360,_Datos!$I:$I,0)),"")</f>
        <v/>
      </c>
      <c r="D367" s="68" t="str">
        <f>IFERROR(INDEX(_Datos!D:D,MATCH(360,_Datos!$I:$I,0)),"")</f>
        <v/>
      </c>
      <c r="E367" s="69" t="str">
        <f>IFERROR(INDEX(_Datos!E:E,MATCH(360,_Datos!$I:$I,0)),"")</f>
        <v/>
      </c>
      <c r="F367" s="67" t="str">
        <f>IFERROR(INDEX(_Datos!F:F,MATCH(360,_Datos!$I:$I,0)),"")</f>
        <v/>
      </c>
      <c r="G367" s="67" t="str">
        <f>IFERROR(INDEX(_Datos!G:G,MATCH(360,_Datos!$I:$I,0)),"")</f>
        <v/>
      </c>
      <c r="H367" s="70" t="str">
        <f>IFERROR(INDEX(_Datos!H:H,MATCH(360,_Datos!$I:$I,0)),"")</f>
        <v/>
      </c>
    </row>
    <row r="368" spans="1:8" x14ac:dyDescent="0.2">
      <c r="A368" s="63" t="str">
        <f>IFERROR(INDEX(_Datos!A:A,MATCH(361,_Datos!$I:$I,0)),"")</f>
        <v/>
      </c>
      <c r="B368" s="63" t="str">
        <f>IFERROR(INDEX(_Datos!B:B,MATCH(361,_Datos!$I:$I,0)),"")</f>
        <v/>
      </c>
      <c r="C368" s="63" t="str">
        <f>IFERROR(INDEX(_Datos!C:C,MATCH(361,_Datos!$I:$I,0)),"")</f>
        <v/>
      </c>
      <c r="D368" s="64" t="str">
        <f>IFERROR(INDEX(_Datos!D:D,MATCH(361,_Datos!$I:$I,0)),"")</f>
        <v/>
      </c>
      <c r="E368" s="65" t="str">
        <f>IFERROR(INDEX(_Datos!E:E,MATCH(361,_Datos!$I:$I,0)),"")</f>
        <v/>
      </c>
      <c r="F368" s="63" t="str">
        <f>IFERROR(INDEX(_Datos!F:F,MATCH(361,_Datos!$I:$I,0)),"")</f>
        <v/>
      </c>
      <c r="G368" s="63" t="str">
        <f>IFERROR(INDEX(_Datos!G:G,MATCH(361,_Datos!$I:$I,0)),"")</f>
        <v/>
      </c>
      <c r="H368" s="66" t="str">
        <f>IFERROR(INDEX(_Datos!H:H,MATCH(361,_Datos!$I:$I,0)),"")</f>
        <v/>
      </c>
    </row>
    <row r="369" spans="1:8" x14ac:dyDescent="0.2">
      <c r="A369" s="67" t="str">
        <f>IFERROR(INDEX(_Datos!A:A,MATCH(362,_Datos!$I:$I,0)),"")</f>
        <v/>
      </c>
      <c r="B369" s="67" t="str">
        <f>IFERROR(INDEX(_Datos!B:B,MATCH(362,_Datos!$I:$I,0)),"")</f>
        <v/>
      </c>
      <c r="C369" s="67" t="str">
        <f>IFERROR(INDEX(_Datos!C:C,MATCH(362,_Datos!$I:$I,0)),"")</f>
        <v/>
      </c>
      <c r="D369" s="68" t="str">
        <f>IFERROR(INDEX(_Datos!D:D,MATCH(362,_Datos!$I:$I,0)),"")</f>
        <v/>
      </c>
      <c r="E369" s="69" t="str">
        <f>IFERROR(INDEX(_Datos!E:E,MATCH(362,_Datos!$I:$I,0)),"")</f>
        <v/>
      </c>
      <c r="F369" s="67" t="str">
        <f>IFERROR(INDEX(_Datos!F:F,MATCH(362,_Datos!$I:$I,0)),"")</f>
        <v/>
      </c>
      <c r="G369" s="67" t="str">
        <f>IFERROR(INDEX(_Datos!G:G,MATCH(362,_Datos!$I:$I,0)),"")</f>
        <v/>
      </c>
      <c r="H369" s="70" t="str">
        <f>IFERROR(INDEX(_Datos!H:H,MATCH(362,_Datos!$I:$I,0)),"")</f>
        <v/>
      </c>
    </row>
    <row r="370" spans="1:8" x14ac:dyDescent="0.2">
      <c r="A370" s="63" t="str">
        <f>IFERROR(INDEX(_Datos!A:A,MATCH(363,_Datos!$I:$I,0)),"")</f>
        <v/>
      </c>
      <c r="B370" s="63" t="str">
        <f>IFERROR(INDEX(_Datos!B:B,MATCH(363,_Datos!$I:$I,0)),"")</f>
        <v/>
      </c>
      <c r="C370" s="63" t="str">
        <f>IFERROR(INDEX(_Datos!C:C,MATCH(363,_Datos!$I:$I,0)),"")</f>
        <v/>
      </c>
      <c r="D370" s="64" t="str">
        <f>IFERROR(INDEX(_Datos!D:D,MATCH(363,_Datos!$I:$I,0)),"")</f>
        <v/>
      </c>
      <c r="E370" s="65" t="str">
        <f>IFERROR(INDEX(_Datos!E:E,MATCH(363,_Datos!$I:$I,0)),"")</f>
        <v/>
      </c>
      <c r="F370" s="63" t="str">
        <f>IFERROR(INDEX(_Datos!F:F,MATCH(363,_Datos!$I:$I,0)),"")</f>
        <v/>
      </c>
      <c r="G370" s="63" t="str">
        <f>IFERROR(INDEX(_Datos!G:G,MATCH(363,_Datos!$I:$I,0)),"")</f>
        <v/>
      </c>
      <c r="H370" s="66" t="str">
        <f>IFERROR(INDEX(_Datos!H:H,MATCH(363,_Datos!$I:$I,0)),"")</f>
        <v/>
      </c>
    </row>
    <row r="371" spans="1:8" x14ac:dyDescent="0.2">
      <c r="A371" s="67" t="str">
        <f>IFERROR(INDEX(_Datos!A:A,MATCH(364,_Datos!$I:$I,0)),"")</f>
        <v/>
      </c>
      <c r="B371" s="67" t="str">
        <f>IFERROR(INDEX(_Datos!B:B,MATCH(364,_Datos!$I:$I,0)),"")</f>
        <v/>
      </c>
      <c r="C371" s="67" t="str">
        <f>IFERROR(INDEX(_Datos!C:C,MATCH(364,_Datos!$I:$I,0)),"")</f>
        <v/>
      </c>
      <c r="D371" s="68" t="str">
        <f>IFERROR(INDEX(_Datos!D:D,MATCH(364,_Datos!$I:$I,0)),"")</f>
        <v/>
      </c>
      <c r="E371" s="69" t="str">
        <f>IFERROR(INDEX(_Datos!E:E,MATCH(364,_Datos!$I:$I,0)),"")</f>
        <v/>
      </c>
      <c r="F371" s="67" t="str">
        <f>IFERROR(INDEX(_Datos!F:F,MATCH(364,_Datos!$I:$I,0)),"")</f>
        <v/>
      </c>
      <c r="G371" s="67" t="str">
        <f>IFERROR(INDEX(_Datos!G:G,MATCH(364,_Datos!$I:$I,0)),"")</f>
        <v/>
      </c>
      <c r="H371" s="70" t="str">
        <f>IFERROR(INDEX(_Datos!H:H,MATCH(364,_Datos!$I:$I,0)),"")</f>
        <v/>
      </c>
    </row>
    <row r="372" spans="1:8" x14ac:dyDescent="0.2">
      <c r="A372" s="63" t="str">
        <f>IFERROR(INDEX(_Datos!A:A,MATCH(365,_Datos!$I:$I,0)),"")</f>
        <v/>
      </c>
      <c r="B372" s="63" t="str">
        <f>IFERROR(INDEX(_Datos!B:B,MATCH(365,_Datos!$I:$I,0)),"")</f>
        <v/>
      </c>
      <c r="C372" s="63" t="str">
        <f>IFERROR(INDEX(_Datos!C:C,MATCH(365,_Datos!$I:$I,0)),"")</f>
        <v/>
      </c>
      <c r="D372" s="64" t="str">
        <f>IFERROR(INDEX(_Datos!D:D,MATCH(365,_Datos!$I:$I,0)),"")</f>
        <v/>
      </c>
      <c r="E372" s="65" t="str">
        <f>IFERROR(INDEX(_Datos!E:E,MATCH(365,_Datos!$I:$I,0)),"")</f>
        <v/>
      </c>
      <c r="F372" s="63" t="str">
        <f>IFERROR(INDEX(_Datos!F:F,MATCH(365,_Datos!$I:$I,0)),"")</f>
        <v/>
      </c>
      <c r="G372" s="63" t="str">
        <f>IFERROR(INDEX(_Datos!G:G,MATCH(365,_Datos!$I:$I,0)),"")</f>
        <v/>
      </c>
      <c r="H372" s="66" t="str">
        <f>IFERROR(INDEX(_Datos!H:H,MATCH(365,_Datos!$I:$I,0)),"")</f>
        <v/>
      </c>
    </row>
    <row r="373" spans="1:8" x14ac:dyDescent="0.2">
      <c r="A373" s="67" t="str">
        <f>IFERROR(INDEX(_Datos!A:A,MATCH(366,_Datos!$I:$I,0)),"")</f>
        <v/>
      </c>
      <c r="B373" s="67" t="str">
        <f>IFERROR(INDEX(_Datos!B:B,MATCH(366,_Datos!$I:$I,0)),"")</f>
        <v/>
      </c>
      <c r="C373" s="67" t="str">
        <f>IFERROR(INDEX(_Datos!C:C,MATCH(366,_Datos!$I:$I,0)),"")</f>
        <v/>
      </c>
      <c r="D373" s="68" t="str">
        <f>IFERROR(INDEX(_Datos!D:D,MATCH(366,_Datos!$I:$I,0)),"")</f>
        <v/>
      </c>
      <c r="E373" s="69" t="str">
        <f>IFERROR(INDEX(_Datos!E:E,MATCH(366,_Datos!$I:$I,0)),"")</f>
        <v/>
      </c>
      <c r="F373" s="67" t="str">
        <f>IFERROR(INDEX(_Datos!F:F,MATCH(366,_Datos!$I:$I,0)),"")</f>
        <v/>
      </c>
      <c r="G373" s="67" t="str">
        <f>IFERROR(INDEX(_Datos!G:G,MATCH(366,_Datos!$I:$I,0)),"")</f>
        <v/>
      </c>
      <c r="H373" s="70" t="str">
        <f>IFERROR(INDEX(_Datos!H:H,MATCH(366,_Datos!$I:$I,0)),"")</f>
        <v/>
      </c>
    </row>
    <row r="374" spans="1:8" x14ac:dyDescent="0.2">
      <c r="A374" s="63" t="str">
        <f>IFERROR(INDEX(_Datos!A:A,MATCH(367,_Datos!$I:$I,0)),"")</f>
        <v/>
      </c>
      <c r="B374" s="63" t="str">
        <f>IFERROR(INDEX(_Datos!B:B,MATCH(367,_Datos!$I:$I,0)),"")</f>
        <v/>
      </c>
      <c r="C374" s="63" t="str">
        <f>IFERROR(INDEX(_Datos!C:C,MATCH(367,_Datos!$I:$I,0)),"")</f>
        <v/>
      </c>
      <c r="D374" s="64" t="str">
        <f>IFERROR(INDEX(_Datos!D:D,MATCH(367,_Datos!$I:$I,0)),"")</f>
        <v/>
      </c>
      <c r="E374" s="65" t="str">
        <f>IFERROR(INDEX(_Datos!E:E,MATCH(367,_Datos!$I:$I,0)),"")</f>
        <v/>
      </c>
      <c r="F374" s="63" t="str">
        <f>IFERROR(INDEX(_Datos!F:F,MATCH(367,_Datos!$I:$I,0)),"")</f>
        <v/>
      </c>
      <c r="G374" s="63" t="str">
        <f>IFERROR(INDEX(_Datos!G:G,MATCH(367,_Datos!$I:$I,0)),"")</f>
        <v/>
      </c>
      <c r="H374" s="66" t="str">
        <f>IFERROR(INDEX(_Datos!H:H,MATCH(367,_Datos!$I:$I,0)),"")</f>
        <v/>
      </c>
    </row>
    <row r="375" spans="1:8" x14ac:dyDescent="0.2">
      <c r="A375" s="67" t="str">
        <f>IFERROR(INDEX(_Datos!A:A,MATCH(368,_Datos!$I:$I,0)),"")</f>
        <v/>
      </c>
      <c r="B375" s="67" t="str">
        <f>IFERROR(INDEX(_Datos!B:B,MATCH(368,_Datos!$I:$I,0)),"")</f>
        <v/>
      </c>
      <c r="C375" s="67" t="str">
        <f>IFERROR(INDEX(_Datos!C:C,MATCH(368,_Datos!$I:$I,0)),"")</f>
        <v/>
      </c>
      <c r="D375" s="68" t="str">
        <f>IFERROR(INDEX(_Datos!D:D,MATCH(368,_Datos!$I:$I,0)),"")</f>
        <v/>
      </c>
      <c r="E375" s="69" t="str">
        <f>IFERROR(INDEX(_Datos!E:E,MATCH(368,_Datos!$I:$I,0)),"")</f>
        <v/>
      </c>
      <c r="F375" s="67" t="str">
        <f>IFERROR(INDEX(_Datos!F:F,MATCH(368,_Datos!$I:$I,0)),"")</f>
        <v/>
      </c>
      <c r="G375" s="67" t="str">
        <f>IFERROR(INDEX(_Datos!G:G,MATCH(368,_Datos!$I:$I,0)),"")</f>
        <v/>
      </c>
      <c r="H375" s="70" t="str">
        <f>IFERROR(INDEX(_Datos!H:H,MATCH(368,_Datos!$I:$I,0)),"")</f>
        <v/>
      </c>
    </row>
    <row r="376" spans="1:8" x14ac:dyDescent="0.2">
      <c r="A376" s="63" t="str">
        <f>IFERROR(INDEX(_Datos!A:A,MATCH(369,_Datos!$I:$I,0)),"")</f>
        <v/>
      </c>
      <c r="B376" s="63" t="str">
        <f>IFERROR(INDEX(_Datos!B:B,MATCH(369,_Datos!$I:$I,0)),"")</f>
        <v/>
      </c>
      <c r="C376" s="63" t="str">
        <f>IFERROR(INDEX(_Datos!C:C,MATCH(369,_Datos!$I:$I,0)),"")</f>
        <v/>
      </c>
      <c r="D376" s="64" t="str">
        <f>IFERROR(INDEX(_Datos!D:D,MATCH(369,_Datos!$I:$I,0)),"")</f>
        <v/>
      </c>
      <c r="E376" s="65" t="str">
        <f>IFERROR(INDEX(_Datos!E:E,MATCH(369,_Datos!$I:$I,0)),"")</f>
        <v/>
      </c>
      <c r="F376" s="63" t="str">
        <f>IFERROR(INDEX(_Datos!F:F,MATCH(369,_Datos!$I:$I,0)),"")</f>
        <v/>
      </c>
      <c r="G376" s="63" t="str">
        <f>IFERROR(INDEX(_Datos!G:G,MATCH(369,_Datos!$I:$I,0)),"")</f>
        <v/>
      </c>
      <c r="H376" s="66" t="str">
        <f>IFERROR(INDEX(_Datos!H:H,MATCH(369,_Datos!$I:$I,0)),"")</f>
        <v/>
      </c>
    </row>
    <row r="377" spans="1:8" x14ac:dyDescent="0.2">
      <c r="A377" s="67" t="str">
        <f>IFERROR(INDEX(_Datos!A:A,MATCH(370,_Datos!$I:$I,0)),"")</f>
        <v/>
      </c>
      <c r="B377" s="67" t="str">
        <f>IFERROR(INDEX(_Datos!B:B,MATCH(370,_Datos!$I:$I,0)),"")</f>
        <v/>
      </c>
      <c r="C377" s="67" t="str">
        <f>IFERROR(INDEX(_Datos!C:C,MATCH(370,_Datos!$I:$I,0)),"")</f>
        <v/>
      </c>
      <c r="D377" s="68" t="str">
        <f>IFERROR(INDEX(_Datos!D:D,MATCH(370,_Datos!$I:$I,0)),"")</f>
        <v/>
      </c>
      <c r="E377" s="69" t="str">
        <f>IFERROR(INDEX(_Datos!E:E,MATCH(370,_Datos!$I:$I,0)),"")</f>
        <v/>
      </c>
      <c r="F377" s="67" t="str">
        <f>IFERROR(INDEX(_Datos!F:F,MATCH(370,_Datos!$I:$I,0)),"")</f>
        <v/>
      </c>
      <c r="G377" s="67" t="str">
        <f>IFERROR(INDEX(_Datos!G:G,MATCH(370,_Datos!$I:$I,0)),"")</f>
        <v/>
      </c>
      <c r="H377" s="70" t="str">
        <f>IFERROR(INDEX(_Datos!H:H,MATCH(370,_Datos!$I:$I,0)),"")</f>
        <v/>
      </c>
    </row>
    <row r="378" spans="1:8" x14ac:dyDescent="0.2">
      <c r="A378" s="63" t="str">
        <f>IFERROR(INDEX(_Datos!A:A,MATCH(371,_Datos!$I:$I,0)),"")</f>
        <v/>
      </c>
      <c r="B378" s="63" t="str">
        <f>IFERROR(INDEX(_Datos!B:B,MATCH(371,_Datos!$I:$I,0)),"")</f>
        <v/>
      </c>
      <c r="C378" s="63" t="str">
        <f>IFERROR(INDEX(_Datos!C:C,MATCH(371,_Datos!$I:$I,0)),"")</f>
        <v/>
      </c>
      <c r="D378" s="64" t="str">
        <f>IFERROR(INDEX(_Datos!D:D,MATCH(371,_Datos!$I:$I,0)),"")</f>
        <v/>
      </c>
      <c r="E378" s="65" t="str">
        <f>IFERROR(INDEX(_Datos!E:E,MATCH(371,_Datos!$I:$I,0)),"")</f>
        <v/>
      </c>
      <c r="F378" s="63" t="str">
        <f>IFERROR(INDEX(_Datos!F:F,MATCH(371,_Datos!$I:$I,0)),"")</f>
        <v/>
      </c>
      <c r="G378" s="63" t="str">
        <f>IFERROR(INDEX(_Datos!G:G,MATCH(371,_Datos!$I:$I,0)),"")</f>
        <v/>
      </c>
      <c r="H378" s="66" t="str">
        <f>IFERROR(INDEX(_Datos!H:H,MATCH(371,_Datos!$I:$I,0)),"")</f>
        <v/>
      </c>
    </row>
    <row r="379" spans="1:8" x14ac:dyDescent="0.2">
      <c r="A379" s="67" t="str">
        <f>IFERROR(INDEX(_Datos!A:A,MATCH(372,_Datos!$I:$I,0)),"")</f>
        <v/>
      </c>
      <c r="B379" s="67" t="str">
        <f>IFERROR(INDEX(_Datos!B:B,MATCH(372,_Datos!$I:$I,0)),"")</f>
        <v/>
      </c>
      <c r="C379" s="67" t="str">
        <f>IFERROR(INDEX(_Datos!C:C,MATCH(372,_Datos!$I:$I,0)),"")</f>
        <v/>
      </c>
      <c r="D379" s="68" t="str">
        <f>IFERROR(INDEX(_Datos!D:D,MATCH(372,_Datos!$I:$I,0)),"")</f>
        <v/>
      </c>
      <c r="E379" s="69" t="str">
        <f>IFERROR(INDEX(_Datos!E:E,MATCH(372,_Datos!$I:$I,0)),"")</f>
        <v/>
      </c>
      <c r="F379" s="67" t="str">
        <f>IFERROR(INDEX(_Datos!F:F,MATCH(372,_Datos!$I:$I,0)),"")</f>
        <v/>
      </c>
      <c r="G379" s="67" t="str">
        <f>IFERROR(INDEX(_Datos!G:G,MATCH(372,_Datos!$I:$I,0)),"")</f>
        <v/>
      </c>
      <c r="H379" s="70" t="str">
        <f>IFERROR(INDEX(_Datos!H:H,MATCH(372,_Datos!$I:$I,0)),"")</f>
        <v/>
      </c>
    </row>
    <row r="380" spans="1:8" x14ac:dyDescent="0.2">
      <c r="A380" s="63" t="str">
        <f>IFERROR(INDEX(_Datos!A:A,MATCH(373,_Datos!$I:$I,0)),"")</f>
        <v/>
      </c>
      <c r="B380" s="63" t="str">
        <f>IFERROR(INDEX(_Datos!B:B,MATCH(373,_Datos!$I:$I,0)),"")</f>
        <v/>
      </c>
      <c r="C380" s="63" t="str">
        <f>IFERROR(INDEX(_Datos!C:C,MATCH(373,_Datos!$I:$I,0)),"")</f>
        <v/>
      </c>
      <c r="D380" s="64" t="str">
        <f>IFERROR(INDEX(_Datos!D:D,MATCH(373,_Datos!$I:$I,0)),"")</f>
        <v/>
      </c>
      <c r="E380" s="65" t="str">
        <f>IFERROR(INDEX(_Datos!E:E,MATCH(373,_Datos!$I:$I,0)),"")</f>
        <v/>
      </c>
      <c r="F380" s="63" t="str">
        <f>IFERROR(INDEX(_Datos!F:F,MATCH(373,_Datos!$I:$I,0)),"")</f>
        <v/>
      </c>
      <c r="G380" s="63" t="str">
        <f>IFERROR(INDEX(_Datos!G:G,MATCH(373,_Datos!$I:$I,0)),"")</f>
        <v/>
      </c>
      <c r="H380" s="66" t="str">
        <f>IFERROR(INDEX(_Datos!H:H,MATCH(373,_Datos!$I:$I,0)),"")</f>
        <v/>
      </c>
    </row>
    <row r="381" spans="1:8" x14ac:dyDescent="0.2">
      <c r="A381" s="67" t="str">
        <f>IFERROR(INDEX(_Datos!A:A,MATCH(374,_Datos!$I:$I,0)),"")</f>
        <v/>
      </c>
      <c r="B381" s="67" t="str">
        <f>IFERROR(INDEX(_Datos!B:B,MATCH(374,_Datos!$I:$I,0)),"")</f>
        <v/>
      </c>
      <c r="C381" s="67" t="str">
        <f>IFERROR(INDEX(_Datos!C:C,MATCH(374,_Datos!$I:$I,0)),"")</f>
        <v/>
      </c>
      <c r="D381" s="68" t="str">
        <f>IFERROR(INDEX(_Datos!D:D,MATCH(374,_Datos!$I:$I,0)),"")</f>
        <v/>
      </c>
      <c r="E381" s="69" t="str">
        <f>IFERROR(INDEX(_Datos!E:E,MATCH(374,_Datos!$I:$I,0)),"")</f>
        <v/>
      </c>
      <c r="F381" s="67" t="str">
        <f>IFERROR(INDEX(_Datos!F:F,MATCH(374,_Datos!$I:$I,0)),"")</f>
        <v/>
      </c>
      <c r="G381" s="67" t="str">
        <f>IFERROR(INDEX(_Datos!G:G,MATCH(374,_Datos!$I:$I,0)),"")</f>
        <v/>
      </c>
      <c r="H381" s="70" t="str">
        <f>IFERROR(INDEX(_Datos!H:H,MATCH(374,_Datos!$I:$I,0)),"")</f>
        <v/>
      </c>
    </row>
    <row r="382" spans="1:8" x14ac:dyDescent="0.2">
      <c r="A382" s="63" t="str">
        <f>IFERROR(INDEX(_Datos!A:A,MATCH(375,_Datos!$I:$I,0)),"")</f>
        <v/>
      </c>
      <c r="B382" s="63" t="str">
        <f>IFERROR(INDEX(_Datos!B:B,MATCH(375,_Datos!$I:$I,0)),"")</f>
        <v/>
      </c>
      <c r="C382" s="63" t="str">
        <f>IFERROR(INDEX(_Datos!C:C,MATCH(375,_Datos!$I:$I,0)),"")</f>
        <v/>
      </c>
      <c r="D382" s="64" t="str">
        <f>IFERROR(INDEX(_Datos!D:D,MATCH(375,_Datos!$I:$I,0)),"")</f>
        <v/>
      </c>
      <c r="E382" s="65" t="str">
        <f>IFERROR(INDEX(_Datos!E:E,MATCH(375,_Datos!$I:$I,0)),"")</f>
        <v/>
      </c>
      <c r="F382" s="63" t="str">
        <f>IFERROR(INDEX(_Datos!F:F,MATCH(375,_Datos!$I:$I,0)),"")</f>
        <v/>
      </c>
      <c r="G382" s="63" t="str">
        <f>IFERROR(INDEX(_Datos!G:G,MATCH(375,_Datos!$I:$I,0)),"")</f>
        <v/>
      </c>
      <c r="H382" s="66" t="str">
        <f>IFERROR(INDEX(_Datos!H:H,MATCH(375,_Datos!$I:$I,0)),"")</f>
        <v/>
      </c>
    </row>
    <row r="383" spans="1:8" x14ac:dyDescent="0.2">
      <c r="A383" s="67" t="str">
        <f>IFERROR(INDEX(_Datos!A:A,MATCH(376,_Datos!$I:$I,0)),"")</f>
        <v/>
      </c>
      <c r="B383" s="67" t="str">
        <f>IFERROR(INDEX(_Datos!B:B,MATCH(376,_Datos!$I:$I,0)),"")</f>
        <v/>
      </c>
      <c r="C383" s="67" t="str">
        <f>IFERROR(INDEX(_Datos!C:C,MATCH(376,_Datos!$I:$I,0)),"")</f>
        <v/>
      </c>
      <c r="D383" s="68" t="str">
        <f>IFERROR(INDEX(_Datos!D:D,MATCH(376,_Datos!$I:$I,0)),"")</f>
        <v/>
      </c>
      <c r="E383" s="69" t="str">
        <f>IFERROR(INDEX(_Datos!E:E,MATCH(376,_Datos!$I:$I,0)),"")</f>
        <v/>
      </c>
      <c r="F383" s="67" t="str">
        <f>IFERROR(INDEX(_Datos!F:F,MATCH(376,_Datos!$I:$I,0)),"")</f>
        <v/>
      </c>
      <c r="G383" s="67" t="str">
        <f>IFERROR(INDEX(_Datos!G:G,MATCH(376,_Datos!$I:$I,0)),"")</f>
        <v/>
      </c>
      <c r="H383" s="70" t="str">
        <f>IFERROR(INDEX(_Datos!H:H,MATCH(376,_Datos!$I:$I,0)),"")</f>
        <v/>
      </c>
    </row>
    <row r="384" spans="1:8" x14ac:dyDescent="0.2">
      <c r="A384" s="63" t="str">
        <f>IFERROR(INDEX(_Datos!A:A,MATCH(377,_Datos!$I:$I,0)),"")</f>
        <v/>
      </c>
      <c r="B384" s="63" t="str">
        <f>IFERROR(INDEX(_Datos!B:B,MATCH(377,_Datos!$I:$I,0)),"")</f>
        <v/>
      </c>
      <c r="C384" s="63" t="str">
        <f>IFERROR(INDEX(_Datos!C:C,MATCH(377,_Datos!$I:$I,0)),"")</f>
        <v/>
      </c>
      <c r="D384" s="64" t="str">
        <f>IFERROR(INDEX(_Datos!D:D,MATCH(377,_Datos!$I:$I,0)),"")</f>
        <v/>
      </c>
      <c r="E384" s="65" t="str">
        <f>IFERROR(INDEX(_Datos!E:E,MATCH(377,_Datos!$I:$I,0)),"")</f>
        <v/>
      </c>
      <c r="F384" s="63" t="str">
        <f>IFERROR(INDEX(_Datos!F:F,MATCH(377,_Datos!$I:$I,0)),"")</f>
        <v/>
      </c>
      <c r="G384" s="63" t="str">
        <f>IFERROR(INDEX(_Datos!G:G,MATCH(377,_Datos!$I:$I,0)),"")</f>
        <v/>
      </c>
      <c r="H384" s="66" t="str">
        <f>IFERROR(INDEX(_Datos!H:H,MATCH(377,_Datos!$I:$I,0)),"")</f>
        <v/>
      </c>
    </row>
    <row r="385" spans="1:8" x14ac:dyDescent="0.2">
      <c r="A385" s="67" t="str">
        <f>IFERROR(INDEX(_Datos!A:A,MATCH(378,_Datos!$I:$I,0)),"")</f>
        <v/>
      </c>
      <c r="B385" s="67" t="str">
        <f>IFERROR(INDEX(_Datos!B:B,MATCH(378,_Datos!$I:$I,0)),"")</f>
        <v/>
      </c>
      <c r="C385" s="67" t="str">
        <f>IFERROR(INDEX(_Datos!C:C,MATCH(378,_Datos!$I:$I,0)),"")</f>
        <v/>
      </c>
      <c r="D385" s="68" t="str">
        <f>IFERROR(INDEX(_Datos!D:D,MATCH(378,_Datos!$I:$I,0)),"")</f>
        <v/>
      </c>
      <c r="E385" s="69" t="str">
        <f>IFERROR(INDEX(_Datos!E:E,MATCH(378,_Datos!$I:$I,0)),"")</f>
        <v/>
      </c>
      <c r="F385" s="67" t="str">
        <f>IFERROR(INDEX(_Datos!F:F,MATCH(378,_Datos!$I:$I,0)),"")</f>
        <v/>
      </c>
      <c r="G385" s="67" t="str">
        <f>IFERROR(INDEX(_Datos!G:G,MATCH(378,_Datos!$I:$I,0)),"")</f>
        <v/>
      </c>
      <c r="H385" s="70" t="str">
        <f>IFERROR(INDEX(_Datos!H:H,MATCH(378,_Datos!$I:$I,0)),"")</f>
        <v/>
      </c>
    </row>
    <row r="386" spans="1:8" x14ac:dyDescent="0.2">
      <c r="A386" s="63" t="str">
        <f>IFERROR(INDEX(_Datos!A:A,MATCH(379,_Datos!$I:$I,0)),"")</f>
        <v/>
      </c>
      <c r="B386" s="63" t="str">
        <f>IFERROR(INDEX(_Datos!B:B,MATCH(379,_Datos!$I:$I,0)),"")</f>
        <v/>
      </c>
      <c r="C386" s="63" t="str">
        <f>IFERROR(INDEX(_Datos!C:C,MATCH(379,_Datos!$I:$I,0)),"")</f>
        <v/>
      </c>
      <c r="D386" s="64" t="str">
        <f>IFERROR(INDEX(_Datos!D:D,MATCH(379,_Datos!$I:$I,0)),"")</f>
        <v/>
      </c>
      <c r="E386" s="65" t="str">
        <f>IFERROR(INDEX(_Datos!E:E,MATCH(379,_Datos!$I:$I,0)),"")</f>
        <v/>
      </c>
      <c r="F386" s="63" t="str">
        <f>IFERROR(INDEX(_Datos!F:F,MATCH(379,_Datos!$I:$I,0)),"")</f>
        <v/>
      </c>
      <c r="G386" s="63" t="str">
        <f>IFERROR(INDEX(_Datos!G:G,MATCH(379,_Datos!$I:$I,0)),"")</f>
        <v/>
      </c>
      <c r="H386" s="66" t="str">
        <f>IFERROR(INDEX(_Datos!H:H,MATCH(379,_Datos!$I:$I,0)),"")</f>
        <v/>
      </c>
    </row>
    <row r="387" spans="1:8" x14ac:dyDescent="0.2">
      <c r="A387" s="67" t="str">
        <f>IFERROR(INDEX(_Datos!A:A,MATCH(380,_Datos!$I:$I,0)),"")</f>
        <v/>
      </c>
      <c r="B387" s="67" t="str">
        <f>IFERROR(INDEX(_Datos!B:B,MATCH(380,_Datos!$I:$I,0)),"")</f>
        <v/>
      </c>
      <c r="C387" s="67" t="str">
        <f>IFERROR(INDEX(_Datos!C:C,MATCH(380,_Datos!$I:$I,0)),"")</f>
        <v/>
      </c>
      <c r="D387" s="68" t="str">
        <f>IFERROR(INDEX(_Datos!D:D,MATCH(380,_Datos!$I:$I,0)),"")</f>
        <v/>
      </c>
      <c r="E387" s="69" t="str">
        <f>IFERROR(INDEX(_Datos!E:E,MATCH(380,_Datos!$I:$I,0)),"")</f>
        <v/>
      </c>
      <c r="F387" s="67" t="str">
        <f>IFERROR(INDEX(_Datos!F:F,MATCH(380,_Datos!$I:$I,0)),"")</f>
        <v/>
      </c>
      <c r="G387" s="67" t="str">
        <f>IFERROR(INDEX(_Datos!G:G,MATCH(380,_Datos!$I:$I,0)),"")</f>
        <v/>
      </c>
      <c r="H387" s="70" t="str">
        <f>IFERROR(INDEX(_Datos!H:H,MATCH(380,_Datos!$I:$I,0)),"")</f>
        <v/>
      </c>
    </row>
    <row r="388" spans="1:8" x14ac:dyDescent="0.2">
      <c r="A388" s="63" t="str">
        <f>IFERROR(INDEX(_Datos!A:A,MATCH(381,_Datos!$I:$I,0)),"")</f>
        <v/>
      </c>
      <c r="B388" s="63" t="str">
        <f>IFERROR(INDEX(_Datos!B:B,MATCH(381,_Datos!$I:$I,0)),"")</f>
        <v/>
      </c>
      <c r="C388" s="63" t="str">
        <f>IFERROR(INDEX(_Datos!C:C,MATCH(381,_Datos!$I:$I,0)),"")</f>
        <v/>
      </c>
      <c r="D388" s="64" t="str">
        <f>IFERROR(INDEX(_Datos!D:D,MATCH(381,_Datos!$I:$I,0)),"")</f>
        <v/>
      </c>
      <c r="E388" s="65" t="str">
        <f>IFERROR(INDEX(_Datos!E:E,MATCH(381,_Datos!$I:$I,0)),"")</f>
        <v/>
      </c>
      <c r="F388" s="63" t="str">
        <f>IFERROR(INDEX(_Datos!F:F,MATCH(381,_Datos!$I:$I,0)),"")</f>
        <v/>
      </c>
      <c r="G388" s="63" t="str">
        <f>IFERROR(INDEX(_Datos!G:G,MATCH(381,_Datos!$I:$I,0)),"")</f>
        <v/>
      </c>
      <c r="H388" s="66" t="str">
        <f>IFERROR(INDEX(_Datos!H:H,MATCH(381,_Datos!$I:$I,0)),"")</f>
        <v/>
      </c>
    </row>
    <row r="389" spans="1:8" x14ac:dyDescent="0.2">
      <c r="A389" s="67" t="str">
        <f>IFERROR(INDEX(_Datos!A:A,MATCH(382,_Datos!$I:$I,0)),"")</f>
        <v/>
      </c>
      <c r="B389" s="67" t="str">
        <f>IFERROR(INDEX(_Datos!B:B,MATCH(382,_Datos!$I:$I,0)),"")</f>
        <v/>
      </c>
      <c r="C389" s="67" t="str">
        <f>IFERROR(INDEX(_Datos!C:C,MATCH(382,_Datos!$I:$I,0)),"")</f>
        <v/>
      </c>
      <c r="D389" s="68" t="str">
        <f>IFERROR(INDEX(_Datos!D:D,MATCH(382,_Datos!$I:$I,0)),"")</f>
        <v/>
      </c>
      <c r="E389" s="69" t="str">
        <f>IFERROR(INDEX(_Datos!E:E,MATCH(382,_Datos!$I:$I,0)),"")</f>
        <v/>
      </c>
      <c r="F389" s="67" t="str">
        <f>IFERROR(INDEX(_Datos!F:F,MATCH(382,_Datos!$I:$I,0)),"")</f>
        <v/>
      </c>
      <c r="G389" s="67" t="str">
        <f>IFERROR(INDEX(_Datos!G:G,MATCH(382,_Datos!$I:$I,0)),"")</f>
        <v/>
      </c>
      <c r="H389" s="70" t="str">
        <f>IFERROR(INDEX(_Datos!H:H,MATCH(382,_Datos!$I:$I,0)),"")</f>
        <v/>
      </c>
    </row>
    <row r="390" spans="1:8" x14ac:dyDescent="0.2">
      <c r="A390" s="63" t="str">
        <f>IFERROR(INDEX(_Datos!A:A,MATCH(383,_Datos!$I:$I,0)),"")</f>
        <v/>
      </c>
      <c r="B390" s="63" t="str">
        <f>IFERROR(INDEX(_Datos!B:B,MATCH(383,_Datos!$I:$I,0)),"")</f>
        <v/>
      </c>
      <c r="C390" s="63" t="str">
        <f>IFERROR(INDEX(_Datos!C:C,MATCH(383,_Datos!$I:$I,0)),"")</f>
        <v/>
      </c>
      <c r="D390" s="64" t="str">
        <f>IFERROR(INDEX(_Datos!D:D,MATCH(383,_Datos!$I:$I,0)),"")</f>
        <v/>
      </c>
      <c r="E390" s="65" t="str">
        <f>IFERROR(INDEX(_Datos!E:E,MATCH(383,_Datos!$I:$I,0)),"")</f>
        <v/>
      </c>
      <c r="F390" s="63" t="str">
        <f>IFERROR(INDEX(_Datos!F:F,MATCH(383,_Datos!$I:$I,0)),"")</f>
        <v/>
      </c>
      <c r="G390" s="63" t="str">
        <f>IFERROR(INDEX(_Datos!G:G,MATCH(383,_Datos!$I:$I,0)),"")</f>
        <v/>
      </c>
      <c r="H390" s="66" t="str">
        <f>IFERROR(INDEX(_Datos!H:H,MATCH(383,_Datos!$I:$I,0)),"")</f>
        <v/>
      </c>
    </row>
    <row r="391" spans="1:8" x14ac:dyDescent="0.2">
      <c r="A391" s="67" t="str">
        <f>IFERROR(INDEX(_Datos!A:A,MATCH(384,_Datos!$I:$I,0)),"")</f>
        <v/>
      </c>
      <c r="B391" s="67" t="str">
        <f>IFERROR(INDEX(_Datos!B:B,MATCH(384,_Datos!$I:$I,0)),"")</f>
        <v/>
      </c>
      <c r="C391" s="67" t="str">
        <f>IFERROR(INDEX(_Datos!C:C,MATCH(384,_Datos!$I:$I,0)),"")</f>
        <v/>
      </c>
      <c r="D391" s="68" t="str">
        <f>IFERROR(INDEX(_Datos!D:D,MATCH(384,_Datos!$I:$I,0)),"")</f>
        <v/>
      </c>
      <c r="E391" s="69" t="str">
        <f>IFERROR(INDEX(_Datos!E:E,MATCH(384,_Datos!$I:$I,0)),"")</f>
        <v/>
      </c>
      <c r="F391" s="67" t="str">
        <f>IFERROR(INDEX(_Datos!F:F,MATCH(384,_Datos!$I:$I,0)),"")</f>
        <v/>
      </c>
      <c r="G391" s="67" t="str">
        <f>IFERROR(INDEX(_Datos!G:G,MATCH(384,_Datos!$I:$I,0)),"")</f>
        <v/>
      </c>
      <c r="H391" s="70" t="str">
        <f>IFERROR(INDEX(_Datos!H:H,MATCH(384,_Datos!$I:$I,0)),"")</f>
        <v/>
      </c>
    </row>
    <row r="392" spans="1:8" x14ac:dyDescent="0.2">
      <c r="A392" s="63" t="str">
        <f>IFERROR(INDEX(_Datos!A:A,MATCH(385,_Datos!$I:$I,0)),"")</f>
        <v/>
      </c>
      <c r="B392" s="63" t="str">
        <f>IFERROR(INDEX(_Datos!B:B,MATCH(385,_Datos!$I:$I,0)),"")</f>
        <v/>
      </c>
      <c r="C392" s="63" t="str">
        <f>IFERROR(INDEX(_Datos!C:C,MATCH(385,_Datos!$I:$I,0)),"")</f>
        <v/>
      </c>
      <c r="D392" s="64" t="str">
        <f>IFERROR(INDEX(_Datos!D:D,MATCH(385,_Datos!$I:$I,0)),"")</f>
        <v/>
      </c>
      <c r="E392" s="65" t="str">
        <f>IFERROR(INDEX(_Datos!E:E,MATCH(385,_Datos!$I:$I,0)),"")</f>
        <v/>
      </c>
      <c r="F392" s="63" t="str">
        <f>IFERROR(INDEX(_Datos!F:F,MATCH(385,_Datos!$I:$I,0)),"")</f>
        <v/>
      </c>
      <c r="G392" s="63" t="str">
        <f>IFERROR(INDEX(_Datos!G:G,MATCH(385,_Datos!$I:$I,0)),"")</f>
        <v/>
      </c>
      <c r="H392" s="66" t="str">
        <f>IFERROR(INDEX(_Datos!H:H,MATCH(385,_Datos!$I:$I,0)),"")</f>
        <v/>
      </c>
    </row>
    <row r="393" spans="1:8" x14ac:dyDescent="0.2">
      <c r="A393" s="67" t="str">
        <f>IFERROR(INDEX(_Datos!A:A,MATCH(386,_Datos!$I:$I,0)),"")</f>
        <v/>
      </c>
      <c r="B393" s="67" t="str">
        <f>IFERROR(INDEX(_Datos!B:B,MATCH(386,_Datos!$I:$I,0)),"")</f>
        <v/>
      </c>
      <c r="C393" s="67" t="str">
        <f>IFERROR(INDEX(_Datos!C:C,MATCH(386,_Datos!$I:$I,0)),"")</f>
        <v/>
      </c>
      <c r="D393" s="68" t="str">
        <f>IFERROR(INDEX(_Datos!D:D,MATCH(386,_Datos!$I:$I,0)),"")</f>
        <v/>
      </c>
      <c r="E393" s="69" t="str">
        <f>IFERROR(INDEX(_Datos!E:E,MATCH(386,_Datos!$I:$I,0)),"")</f>
        <v/>
      </c>
      <c r="F393" s="67" t="str">
        <f>IFERROR(INDEX(_Datos!F:F,MATCH(386,_Datos!$I:$I,0)),"")</f>
        <v/>
      </c>
      <c r="G393" s="67" t="str">
        <f>IFERROR(INDEX(_Datos!G:G,MATCH(386,_Datos!$I:$I,0)),"")</f>
        <v/>
      </c>
      <c r="H393" s="70" t="str">
        <f>IFERROR(INDEX(_Datos!H:H,MATCH(386,_Datos!$I:$I,0)),"")</f>
        <v/>
      </c>
    </row>
    <row r="394" spans="1:8" x14ac:dyDescent="0.2">
      <c r="A394" s="63" t="str">
        <f>IFERROR(INDEX(_Datos!A:A,MATCH(387,_Datos!$I:$I,0)),"")</f>
        <v/>
      </c>
      <c r="B394" s="63" t="str">
        <f>IFERROR(INDEX(_Datos!B:B,MATCH(387,_Datos!$I:$I,0)),"")</f>
        <v/>
      </c>
      <c r="C394" s="63" t="str">
        <f>IFERROR(INDEX(_Datos!C:C,MATCH(387,_Datos!$I:$I,0)),"")</f>
        <v/>
      </c>
      <c r="D394" s="64" t="str">
        <f>IFERROR(INDEX(_Datos!D:D,MATCH(387,_Datos!$I:$I,0)),"")</f>
        <v/>
      </c>
      <c r="E394" s="65" t="str">
        <f>IFERROR(INDEX(_Datos!E:E,MATCH(387,_Datos!$I:$I,0)),"")</f>
        <v/>
      </c>
      <c r="F394" s="63" t="str">
        <f>IFERROR(INDEX(_Datos!F:F,MATCH(387,_Datos!$I:$I,0)),"")</f>
        <v/>
      </c>
      <c r="G394" s="63" t="str">
        <f>IFERROR(INDEX(_Datos!G:G,MATCH(387,_Datos!$I:$I,0)),"")</f>
        <v/>
      </c>
      <c r="H394" s="66" t="str">
        <f>IFERROR(INDEX(_Datos!H:H,MATCH(387,_Datos!$I:$I,0)),"")</f>
        <v/>
      </c>
    </row>
    <row r="395" spans="1:8" x14ac:dyDescent="0.2">
      <c r="A395" s="67" t="str">
        <f>IFERROR(INDEX(_Datos!A:A,MATCH(388,_Datos!$I:$I,0)),"")</f>
        <v/>
      </c>
      <c r="B395" s="67" t="str">
        <f>IFERROR(INDEX(_Datos!B:B,MATCH(388,_Datos!$I:$I,0)),"")</f>
        <v/>
      </c>
      <c r="C395" s="67" t="str">
        <f>IFERROR(INDEX(_Datos!C:C,MATCH(388,_Datos!$I:$I,0)),"")</f>
        <v/>
      </c>
      <c r="D395" s="68" t="str">
        <f>IFERROR(INDEX(_Datos!D:D,MATCH(388,_Datos!$I:$I,0)),"")</f>
        <v/>
      </c>
      <c r="E395" s="69" t="str">
        <f>IFERROR(INDEX(_Datos!E:E,MATCH(388,_Datos!$I:$I,0)),"")</f>
        <v/>
      </c>
      <c r="F395" s="67" t="str">
        <f>IFERROR(INDEX(_Datos!F:F,MATCH(388,_Datos!$I:$I,0)),"")</f>
        <v/>
      </c>
      <c r="G395" s="67" t="str">
        <f>IFERROR(INDEX(_Datos!G:G,MATCH(388,_Datos!$I:$I,0)),"")</f>
        <v/>
      </c>
      <c r="H395" s="70" t="str">
        <f>IFERROR(INDEX(_Datos!H:H,MATCH(388,_Datos!$I:$I,0)),"")</f>
        <v/>
      </c>
    </row>
    <row r="396" spans="1:8" x14ac:dyDescent="0.2">
      <c r="A396" s="63" t="str">
        <f>IFERROR(INDEX(_Datos!A:A,MATCH(389,_Datos!$I:$I,0)),"")</f>
        <v/>
      </c>
      <c r="B396" s="63" t="str">
        <f>IFERROR(INDEX(_Datos!B:B,MATCH(389,_Datos!$I:$I,0)),"")</f>
        <v/>
      </c>
      <c r="C396" s="63" t="str">
        <f>IFERROR(INDEX(_Datos!C:C,MATCH(389,_Datos!$I:$I,0)),"")</f>
        <v/>
      </c>
      <c r="D396" s="64" t="str">
        <f>IFERROR(INDEX(_Datos!D:D,MATCH(389,_Datos!$I:$I,0)),"")</f>
        <v/>
      </c>
      <c r="E396" s="65" t="str">
        <f>IFERROR(INDEX(_Datos!E:E,MATCH(389,_Datos!$I:$I,0)),"")</f>
        <v/>
      </c>
      <c r="F396" s="63" t="str">
        <f>IFERROR(INDEX(_Datos!F:F,MATCH(389,_Datos!$I:$I,0)),"")</f>
        <v/>
      </c>
      <c r="G396" s="63" t="str">
        <f>IFERROR(INDEX(_Datos!G:G,MATCH(389,_Datos!$I:$I,0)),"")</f>
        <v/>
      </c>
      <c r="H396" s="66" t="str">
        <f>IFERROR(INDEX(_Datos!H:H,MATCH(389,_Datos!$I:$I,0)),"")</f>
        <v/>
      </c>
    </row>
    <row r="397" spans="1:8" x14ac:dyDescent="0.2">
      <c r="A397" s="67" t="str">
        <f>IFERROR(INDEX(_Datos!A:A,MATCH(390,_Datos!$I:$I,0)),"")</f>
        <v/>
      </c>
      <c r="B397" s="67" t="str">
        <f>IFERROR(INDEX(_Datos!B:B,MATCH(390,_Datos!$I:$I,0)),"")</f>
        <v/>
      </c>
      <c r="C397" s="67" t="str">
        <f>IFERROR(INDEX(_Datos!C:C,MATCH(390,_Datos!$I:$I,0)),"")</f>
        <v/>
      </c>
      <c r="D397" s="68" t="str">
        <f>IFERROR(INDEX(_Datos!D:D,MATCH(390,_Datos!$I:$I,0)),"")</f>
        <v/>
      </c>
      <c r="E397" s="69" t="str">
        <f>IFERROR(INDEX(_Datos!E:E,MATCH(390,_Datos!$I:$I,0)),"")</f>
        <v/>
      </c>
      <c r="F397" s="67" t="str">
        <f>IFERROR(INDEX(_Datos!F:F,MATCH(390,_Datos!$I:$I,0)),"")</f>
        <v/>
      </c>
      <c r="G397" s="67" t="str">
        <f>IFERROR(INDEX(_Datos!G:G,MATCH(390,_Datos!$I:$I,0)),"")</f>
        <v/>
      </c>
      <c r="H397" s="70" t="str">
        <f>IFERROR(INDEX(_Datos!H:H,MATCH(390,_Datos!$I:$I,0)),"")</f>
        <v/>
      </c>
    </row>
    <row r="398" spans="1:8" x14ac:dyDescent="0.2">
      <c r="A398" s="63" t="str">
        <f>IFERROR(INDEX(_Datos!A:A,MATCH(391,_Datos!$I:$I,0)),"")</f>
        <v/>
      </c>
      <c r="B398" s="63" t="str">
        <f>IFERROR(INDEX(_Datos!B:B,MATCH(391,_Datos!$I:$I,0)),"")</f>
        <v/>
      </c>
      <c r="C398" s="63" t="str">
        <f>IFERROR(INDEX(_Datos!C:C,MATCH(391,_Datos!$I:$I,0)),"")</f>
        <v/>
      </c>
      <c r="D398" s="64" t="str">
        <f>IFERROR(INDEX(_Datos!D:D,MATCH(391,_Datos!$I:$I,0)),"")</f>
        <v/>
      </c>
      <c r="E398" s="65" t="str">
        <f>IFERROR(INDEX(_Datos!E:E,MATCH(391,_Datos!$I:$I,0)),"")</f>
        <v/>
      </c>
      <c r="F398" s="63" t="str">
        <f>IFERROR(INDEX(_Datos!F:F,MATCH(391,_Datos!$I:$I,0)),"")</f>
        <v/>
      </c>
      <c r="G398" s="63" t="str">
        <f>IFERROR(INDEX(_Datos!G:G,MATCH(391,_Datos!$I:$I,0)),"")</f>
        <v/>
      </c>
      <c r="H398" s="66" t="str">
        <f>IFERROR(INDEX(_Datos!H:H,MATCH(391,_Datos!$I:$I,0)),"")</f>
        <v/>
      </c>
    </row>
    <row r="399" spans="1:8" x14ac:dyDescent="0.2">
      <c r="A399" s="67" t="str">
        <f>IFERROR(INDEX(_Datos!A:A,MATCH(392,_Datos!$I:$I,0)),"")</f>
        <v/>
      </c>
      <c r="B399" s="67" t="str">
        <f>IFERROR(INDEX(_Datos!B:B,MATCH(392,_Datos!$I:$I,0)),"")</f>
        <v/>
      </c>
      <c r="C399" s="67" t="str">
        <f>IFERROR(INDEX(_Datos!C:C,MATCH(392,_Datos!$I:$I,0)),"")</f>
        <v/>
      </c>
      <c r="D399" s="68" t="str">
        <f>IFERROR(INDEX(_Datos!D:D,MATCH(392,_Datos!$I:$I,0)),"")</f>
        <v/>
      </c>
      <c r="E399" s="69" t="str">
        <f>IFERROR(INDEX(_Datos!E:E,MATCH(392,_Datos!$I:$I,0)),"")</f>
        <v/>
      </c>
      <c r="F399" s="67" t="str">
        <f>IFERROR(INDEX(_Datos!F:F,MATCH(392,_Datos!$I:$I,0)),"")</f>
        <v/>
      </c>
      <c r="G399" s="67" t="str">
        <f>IFERROR(INDEX(_Datos!G:G,MATCH(392,_Datos!$I:$I,0)),"")</f>
        <v/>
      </c>
      <c r="H399" s="70" t="str">
        <f>IFERROR(INDEX(_Datos!H:H,MATCH(392,_Datos!$I:$I,0)),"")</f>
        <v/>
      </c>
    </row>
    <row r="400" spans="1:8" x14ac:dyDescent="0.2">
      <c r="A400" s="63" t="str">
        <f>IFERROR(INDEX(_Datos!A:A,MATCH(393,_Datos!$I:$I,0)),"")</f>
        <v/>
      </c>
      <c r="B400" s="63" t="str">
        <f>IFERROR(INDEX(_Datos!B:B,MATCH(393,_Datos!$I:$I,0)),"")</f>
        <v/>
      </c>
      <c r="C400" s="63" t="str">
        <f>IFERROR(INDEX(_Datos!C:C,MATCH(393,_Datos!$I:$I,0)),"")</f>
        <v/>
      </c>
      <c r="D400" s="64" t="str">
        <f>IFERROR(INDEX(_Datos!D:D,MATCH(393,_Datos!$I:$I,0)),"")</f>
        <v/>
      </c>
      <c r="E400" s="65" t="str">
        <f>IFERROR(INDEX(_Datos!E:E,MATCH(393,_Datos!$I:$I,0)),"")</f>
        <v/>
      </c>
      <c r="F400" s="63" t="str">
        <f>IFERROR(INDEX(_Datos!F:F,MATCH(393,_Datos!$I:$I,0)),"")</f>
        <v/>
      </c>
      <c r="G400" s="63" t="str">
        <f>IFERROR(INDEX(_Datos!G:G,MATCH(393,_Datos!$I:$I,0)),"")</f>
        <v/>
      </c>
      <c r="H400" s="66" t="str">
        <f>IFERROR(INDEX(_Datos!H:H,MATCH(393,_Datos!$I:$I,0)),"")</f>
        <v/>
      </c>
    </row>
    <row r="401" spans="1:8" x14ac:dyDescent="0.2">
      <c r="A401" s="67" t="str">
        <f>IFERROR(INDEX(_Datos!A:A,MATCH(394,_Datos!$I:$I,0)),"")</f>
        <v/>
      </c>
      <c r="B401" s="67" t="str">
        <f>IFERROR(INDEX(_Datos!B:B,MATCH(394,_Datos!$I:$I,0)),"")</f>
        <v/>
      </c>
      <c r="C401" s="67" t="str">
        <f>IFERROR(INDEX(_Datos!C:C,MATCH(394,_Datos!$I:$I,0)),"")</f>
        <v/>
      </c>
      <c r="D401" s="68" t="str">
        <f>IFERROR(INDEX(_Datos!D:D,MATCH(394,_Datos!$I:$I,0)),"")</f>
        <v/>
      </c>
      <c r="E401" s="69" t="str">
        <f>IFERROR(INDEX(_Datos!E:E,MATCH(394,_Datos!$I:$I,0)),"")</f>
        <v/>
      </c>
      <c r="F401" s="67" t="str">
        <f>IFERROR(INDEX(_Datos!F:F,MATCH(394,_Datos!$I:$I,0)),"")</f>
        <v/>
      </c>
      <c r="G401" s="67" t="str">
        <f>IFERROR(INDEX(_Datos!G:G,MATCH(394,_Datos!$I:$I,0)),"")</f>
        <v/>
      </c>
      <c r="H401" s="70" t="str">
        <f>IFERROR(INDEX(_Datos!H:H,MATCH(394,_Datos!$I:$I,0)),"")</f>
        <v/>
      </c>
    </row>
    <row r="402" spans="1:8" x14ac:dyDescent="0.2">
      <c r="A402" s="63" t="str">
        <f>IFERROR(INDEX(_Datos!A:A,MATCH(395,_Datos!$I:$I,0)),"")</f>
        <v/>
      </c>
      <c r="B402" s="63" t="str">
        <f>IFERROR(INDEX(_Datos!B:B,MATCH(395,_Datos!$I:$I,0)),"")</f>
        <v/>
      </c>
      <c r="C402" s="63" t="str">
        <f>IFERROR(INDEX(_Datos!C:C,MATCH(395,_Datos!$I:$I,0)),"")</f>
        <v/>
      </c>
      <c r="D402" s="64" t="str">
        <f>IFERROR(INDEX(_Datos!D:D,MATCH(395,_Datos!$I:$I,0)),"")</f>
        <v/>
      </c>
      <c r="E402" s="65" t="str">
        <f>IFERROR(INDEX(_Datos!E:E,MATCH(395,_Datos!$I:$I,0)),"")</f>
        <v/>
      </c>
      <c r="F402" s="63" t="str">
        <f>IFERROR(INDEX(_Datos!F:F,MATCH(395,_Datos!$I:$I,0)),"")</f>
        <v/>
      </c>
      <c r="G402" s="63" t="str">
        <f>IFERROR(INDEX(_Datos!G:G,MATCH(395,_Datos!$I:$I,0)),"")</f>
        <v/>
      </c>
      <c r="H402" s="66" t="str">
        <f>IFERROR(INDEX(_Datos!H:H,MATCH(395,_Datos!$I:$I,0)),"")</f>
        <v/>
      </c>
    </row>
    <row r="403" spans="1:8" x14ac:dyDescent="0.2">
      <c r="A403" s="67" t="str">
        <f>IFERROR(INDEX(_Datos!A:A,MATCH(396,_Datos!$I:$I,0)),"")</f>
        <v/>
      </c>
      <c r="B403" s="67" t="str">
        <f>IFERROR(INDEX(_Datos!B:B,MATCH(396,_Datos!$I:$I,0)),"")</f>
        <v/>
      </c>
      <c r="C403" s="67" t="str">
        <f>IFERROR(INDEX(_Datos!C:C,MATCH(396,_Datos!$I:$I,0)),"")</f>
        <v/>
      </c>
      <c r="D403" s="68" t="str">
        <f>IFERROR(INDEX(_Datos!D:D,MATCH(396,_Datos!$I:$I,0)),"")</f>
        <v/>
      </c>
      <c r="E403" s="69" t="str">
        <f>IFERROR(INDEX(_Datos!E:E,MATCH(396,_Datos!$I:$I,0)),"")</f>
        <v/>
      </c>
      <c r="F403" s="67" t="str">
        <f>IFERROR(INDEX(_Datos!F:F,MATCH(396,_Datos!$I:$I,0)),"")</f>
        <v/>
      </c>
      <c r="G403" s="67" t="str">
        <f>IFERROR(INDEX(_Datos!G:G,MATCH(396,_Datos!$I:$I,0)),"")</f>
        <v/>
      </c>
      <c r="H403" s="70" t="str">
        <f>IFERROR(INDEX(_Datos!H:H,MATCH(396,_Datos!$I:$I,0)),"")</f>
        <v/>
      </c>
    </row>
    <row r="404" spans="1:8" x14ac:dyDescent="0.2">
      <c r="A404" s="63" t="str">
        <f>IFERROR(INDEX(_Datos!A:A,MATCH(397,_Datos!$I:$I,0)),"")</f>
        <v/>
      </c>
      <c r="B404" s="63" t="str">
        <f>IFERROR(INDEX(_Datos!B:B,MATCH(397,_Datos!$I:$I,0)),"")</f>
        <v/>
      </c>
      <c r="C404" s="63" t="str">
        <f>IFERROR(INDEX(_Datos!C:C,MATCH(397,_Datos!$I:$I,0)),"")</f>
        <v/>
      </c>
      <c r="D404" s="64" t="str">
        <f>IFERROR(INDEX(_Datos!D:D,MATCH(397,_Datos!$I:$I,0)),"")</f>
        <v/>
      </c>
      <c r="E404" s="65" t="str">
        <f>IFERROR(INDEX(_Datos!E:E,MATCH(397,_Datos!$I:$I,0)),"")</f>
        <v/>
      </c>
      <c r="F404" s="63" t="str">
        <f>IFERROR(INDEX(_Datos!F:F,MATCH(397,_Datos!$I:$I,0)),"")</f>
        <v/>
      </c>
      <c r="G404" s="63" t="str">
        <f>IFERROR(INDEX(_Datos!G:G,MATCH(397,_Datos!$I:$I,0)),"")</f>
        <v/>
      </c>
      <c r="H404" s="66" t="str">
        <f>IFERROR(INDEX(_Datos!H:H,MATCH(397,_Datos!$I:$I,0)),"")</f>
        <v/>
      </c>
    </row>
    <row r="405" spans="1:8" x14ac:dyDescent="0.2">
      <c r="A405" s="67" t="str">
        <f>IFERROR(INDEX(_Datos!A:A,MATCH(398,_Datos!$I:$I,0)),"")</f>
        <v/>
      </c>
      <c r="B405" s="67" t="str">
        <f>IFERROR(INDEX(_Datos!B:B,MATCH(398,_Datos!$I:$I,0)),"")</f>
        <v/>
      </c>
      <c r="C405" s="67" t="str">
        <f>IFERROR(INDEX(_Datos!C:C,MATCH(398,_Datos!$I:$I,0)),"")</f>
        <v/>
      </c>
      <c r="D405" s="68" t="str">
        <f>IFERROR(INDEX(_Datos!D:D,MATCH(398,_Datos!$I:$I,0)),"")</f>
        <v/>
      </c>
      <c r="E405" s="69" t="str">
        <f>IFERROR(INDEX(_Datos!E:E,MATCH(398,_Datos!$I:$I,0)),"")</f>
        <v/>
      </c>
      <c r="F405" s="67" t="str">
        <f>IFERROR(INDEX(_Datos!F:F,MATCH(398,_Datos!$I:$I,0)),"")</f>
        <v/>
      </c>
      <c r="G405" s="67" t="str">
        <f>IFERROR(INDEX(_Datos!G:G,MATCH(398,_Datos!$I:$I,0)),"")</f>
        <v/>
      </c>
      <c r="H405" s="70" t="str">
        <f>IFERROR(INDEX(_Datos!H:H,MATCH(398,_Datos!$I:$I,0)),"")</f>
        <v/>
      </c>
    </row>
    <row r="406" spans="1:8" x14ac:dyDescent="0.2">
      <c r="A406" s="63" t="str">
        <f>IFERROR(INDEX(_Datos!A:A,MATCH(399,_Datos!$I:$I,0)),"")</f>
        <v/>
      </c>
      <c r="B406" s="63" t="str">
        <f>IFERROR(INDEX(_Datos!B:B,MATCH(399,_Datos!$I:$I,0)),"")</f>
        <v/>
      </c>
      <c r="C406" s="63" t="str">
        <f>IFERROR(INDEX(_Datos!C:C,MATCH(399,_Datos!$I:$I,0)),"")</f>
        <v/>
      </c>
      <c r="D406" s="64" t="str">
        <f>IFERROR(INDEX(_Datos!D:D,MATCH(399,_Datos!$I:$I,0)),"")</f>
        <v/>
      </c>
      <c r="E406" s="65" t="str">
        <f>IFERROR(INDEX(_Datos!E:E,MATCH(399,_Datos!$I:$I,0)),"")</f>
        <v/>
      </c>
      <c r="F406" s="63" t="str">
        <f>IFERROR(INDEX(_Datos!F:F,MATCH(399,_Datos!$I:$I,0)),"")</f>
        <v/>
      </c>
      <c r="G406" s="63" t="str">
        <f>IFERROR(INDEX(_Datos!G:G,MATCH(399,_Datos!$I:$I,0)),"")</f>
        <v/>
      </c>
      <c r="H406" s="66" t="str">
        <f>IFERROR(INDEX(_Datos!H:H,MATCH(399,_Datos!$I:$I,0)),"")</f>
        <v/>
      </c>
    </row>
    <row r="407" spans="1:8" x14ac:dyDescent="0.2">
      <c r="A407" s="67" t="str">
        <f>IFERROR(INDEX(_Datos!A:A,MATCH(400,_Datos!$I:$I,0)),"")</f>
        <v/>
      </c>
      <c r="B407" s="67" t="str">
        <f>IFERROR(INDEX(_Datos!B:B,MATCH(400,_Datos!$I:$I,0)),"")</f>
        <v/>
      </c>
      <c r="C407" s="67" t="str">
        <f>IFERROR(INDEX(_Datos!C:C,MATCH(400,_Datos!$I:$I,0)),"")</f>
        <v/>
      </c>
      <c r="D407" s="68" t="str">
        <f>IFERROR(INDEX(_Datos!D:D,MATCH(400,_Datos!$I:$I,0)),"")</f>
        <v/>
      </c>
      <c r="E407" s="69" t="str">
        <f>IFERROR(INDEX(_Datos!E:E,MATCH(400,_Datos!$I:$I,0)),"")</f>
        <v/>
      </c>
      <c r="F407" s="67" t="str">
        <f>IFERROR(INDEX(_Datos!F:F,MATCH(400,_Datos!$I:$I,0)),"")</f>
        <v/>
      </c>
      <c r="G407" s="67" t="str">
        <f>IFERROR(INDEX(_Datos!G:G,MATCH(400,_Datos!$I:$I,0)),"")</f>
        <v/>
      </c>
      <c r="H407" s="70" t="str">
        <f>IFERROR(INDEX(_Datos!H:H,MATCH(400,_Datos!$I:$I,0)),"")</f>
        <v/>
      </c>
    </row>
    <row r="408" spans="1:8" x14ac:dyDescent="0.2">
      <c r="A408" s="63" t="str">
        <f>IFERROR(INDEX(_Datos!A:A,MATCH(401,_Datos!$I:$I,0)),"")</f>
        <v/>
      </c>
      <c r="B408" s="63" t="str">
        <f>IFERROR(INDEX(_Datos!B:B,MATCH(401,_Datos!$I:$I,0)),"")</f>
        <v/>
      </c>
      <c r="C408" s="63" t="str">
        <f>IFERROR(INDEX(_Datos!C:C,MATCH(401,_Datos!$I:$I,0)),"")</f>
        <v/>
      </c>
      <c r="D408" s="64" t="str">
        <f>IFERROR(INDEX(_Datos!D:D,MATCH(401,_Datos!$I:$I,0)),"")</f>
        <v/>
      </c>
      <c r="E408" s="65" t="str">
        <f>IFERROR(INDEX(_Datos!E:E,MATCH(401,_Datos!$I:$I,0)),"")</f>
        <v/>
      </c>
      <c r="F408" s="63" t="str">
        <f>IFERROR(INDEX(_Datos!F:F,MATCH(401,_Datos!$I:$I,0)),"")</f>
        <v/>
      </c>
      <c r="G408" s="63" t="str">
        <f>IFERROR(INDEX(_Datos!G:G,MATCH(401,_Datos!$I:$I,0)),"")</f>
        <v/>
      </c>
      <c r="H408" s="66" t="str">
        <f>IFERROR(INDEX(_Datos!H:H,MATCH(401,_Datos!$I:$I,0)),"")</f>
        <v/>
      </c>
    </row>
    <row r="409" spans="1:8" x14ac:dyDescent="0.2">
      <c r="A409" s="67" t="str">
        <f>IFERROR(INDEX(_Datos!A:A,MATCH(402,_Datos!$I:$I,0)),"")</f>
        <v/>
      </c>
      <c r="B409" s="67" t="str">
        <f>IFERROR(INDEX(_Datos!B:B,MATCH(402,_Datos!$I:$I,0)),"")</f>
        <v/>
      </c>
      <c r="C409" s="67" t="str">
        <f>IFERROR(INDEX(_Datos!C:C,MATCH(402,_Datos!$I:$I,0)),"")</f>
        <v/>
      </c>
      <c r="D409" s="68" t="str">
        <f>IFERROR(INDEX(_Datos!D:D,MATCH(402,_Datos!$I:$I,0)),"")</f>
        <v/>
      </c>
      <c r="E409" s="69" t="str">
        <f>IFERROR(INDEX(_Datos!E:E,MATCH(402,_Datos!$I:$I,0)),"")</f>
        <v/>
      </c>
      <c r="F409" s="67" t="str">
        <f>IFERROR(INDEX(_Datos!F:F,MATCH(402,_Datos!$I:$I,0)),"")</f>
        <v/>
      </c>
      <c r="G409" s="67" t="str">
        <f>IFERROR(INDEX(_Datos!G:G,MATCH(402,_Datos!$I:$I,0)),"")</f>
        <v/>
      </c>
      <c r="H409" s="70" t="str">
        <f>IFERROR(INDEX(_Datos!H:H,MATCH(402,_Datos!$I:$I,0)),"")</f>
        <v/>
      </c>
    </row>
    <row r="410" spans="1:8" x14ac:dyDescent="0.2">
      <c r="A410" s="63" t="str">
        <f>IFERROR(INDEX(_Datos!A:A,MATCH(403,_Datos!$I:$I,0)),"")</f>
        <v/>
      </c>
      <c r="B410" s="63" t="str">
        <f>IFERROR(INDEX(_Datos!B:B,MATCH(403,_Datos!$I:$I,0)),"")</f>
        <v/>
      </c>
      <c r="C410" s="63" t="str">
        <f>IFERROR(INDEX(_Datos!C:C,MATCH(403,_Datos!$I:$I,0)),"")</f>
        <v/>
      </c>
      <c r="D410" s="64" t="str">
        <f>IFERROR(INDEX(_Datos!D:D,MATCH(403,_Datos!$I:$I,0)),"")</f>
        <v/>
      </c>
      <c r="E410" s="65" t="str">
        <f>IFERROR(INDEX(_Datos!E:E,MATCH(403,_Datos!$I:$I,0)),"")</f>
        <v/>
      </c>
      <c r="F410" s="63" t="str">
        <f>IFERROR(INDEX(_Datos!F:F,MATCH(403,_Datos!$I:$I,0)),"")</f>
        <v/>
      </c>
      <c r="G410" s="63" t="str">
        <f>IFERROR(INDEX(_Datos!G:G,MATCH(403,_Datos!$I:$I,0)),"")</f>
        <v/>
      </c>
      <c r="H410" s="66" t="str">
        <f>IFERROR(INDEX(_Datos!H:H,MATCH(403,_Datos!$I:$I,0)),"")</f>
        <v/>
      </c>
    </row>
    <row r="411" spans="1:8" x14ac:dyDescent="0.2">
      <c r="A411" s="67" t="str">
        <f>IFERROR(INDEX(_Datos!A:A,MATCH(404,_Datos!$I:$I,0)),"")</f>
        <v/>
      </c>
      <c r="B411" s="67" t="str">
        <f>IFERROR(INDEX(_Datos!B:B,MATCH(404,_Datos!$I:$I,0)),"")</f>
        <v/>
      </c>
      <c r="C411" s="67" t="str">
        <f>IFERROR(INDEX(_Datos!C:C,MATCH(404,_Datos!$I:$I,0)),"")</f>
        <v/>
      </c>
      <c r="D411" s="68" t="str">
        <f>IFERROR(INDEX(_Datos!D:D,MATCH(404,_Datos!$I:$I,0)),"")</f>
        <v/>
      </c>
      <c r="E411" s="69" t="str">
        <f>IFERROR(INDEX(_Datos!E:E,MATCH(404,_Datos!$I:$I,0)),"")</f>
        <v/>
      </c>
      <c r="F411" s="67" t="str">
        <f>IFERROR(INDEX(_Datos!F:F,MATCH(404,_Datos!$I:$I,0)),"")</f>
        <v/>
      </c>
      <c r="G411" s="67" t="str">
        <f>IFERROR(INDEX(_Datos!G:G,MATCH(404,_Datos!$I:$I,0)),"")</f>
        <v/>
      </c>
      <c r="H411" s="70" t="str">
        <f>IFERROR(INDEX(_Datos!H:H,MATCH(404,_Datos!$I:$I,0)),"")</f>
        <v/>
      </c>
    </row>
    <row r="412" spans="1:8" x14ac:dyDescent="0.2">
      <c r="A412" s="63" t="str">
        <f>IFERROR(INDEX(_Datos!A:A,MATCH(405,_Datos!$I:$I,0)),"")</f>
        <v/>
      </c>
      <c r="B412" s="63" t="str">
        <f>IFERROR(INDEX(_Datos!B:B,MATCH(405,_Datos!$I:$I,0)),"")</f>
        <v/>
      </c>
      <c r="C412" s="63" t="str">
        <f>IFERROR(INDEX(_Datos!C:C,MATCH(405,_Datos!$I:$I,0)),"")</f>
        <v/>
      </c>
      <c r="D412" s="64" t="str">
        <f>IFERROR(INDEX(_Datos!D:D,MATCH(405,_Datos!$I:$I,0)),"")</f>
        <v/>
      </c>
      <c r="E412" s="65" t="str">
        <f>IFERROR(INDEX(_Datos!E:E,MATCH(405,_Datos!$I:$I,0)),"")</f>
        <v/>
      </c>
      <c r="F412" s="63" t="str">
        <f>IFERROR(INDEX(_Datos!F:F,MATCH(405,_Datos!$I:$I,0)),"")</f>
        <v/>
      </c>
      <c r="G412" s="63" t="str">
        <f>IFERROR(INDEX(_Datos!G:G,MATCH(405,_Datos!$I:$I,0)),"")</f>
        <v/>
      </c>
      <c r="H412" s="66" t="str">
        <f>IFERROR(INDEX(_Datos!H:H,MATCH(405,_Datos!$I:$I,0)),"")</f>
        <v/>
      </c>
    </row>
    <row r="413" spans="1:8" x14ac:dyDescent="0.2">
      <c r="A413" s="67" t="str">
        <f>IFERROR(INDEX(_Datos!A:A,MATCH(406,_Datos!$I:$I,0)),"")</f>
        <v/>
      </c>
      <c r="B413" s="67" t="str">
        <f>IFERROR(INDEX(_Datos!B:B,MATCH(406,_Datos!$I:$I,0)),"")</f>
        <v/>
      </c>
      <c r="C413" s="67" t="str">
        <f>IFERROR(INDEX(_Datos!C:C,MATCH(406,_Datos!$I:$I,0)),"")</f>
        <v/>
      </c>
      <c r="D413" s="68" t="str">
        <f>IFERROR(INDEX(_Datos!D:D,MATCH(406,_Datos!$I:$I,0)),"")</f>
        <v/>
      </c>
      <c r="E413" s="69" t="str">
        <f>IFERROR(INDEX(_Datos!E:E,MATCH(406,_Datos!$I:$I,0)),"")</f>
        <v/>
      </c>
      <c r="F413" s="67" t="str">
        <f>IFERROR(INDEX(_Datos!F:F,MATCH(406,_Datos!$I:$I,0)),"")</f>
        <v/>
      </c>
      <c r="G413" s="67" t="str">
        <f>IFERROR(INDEX(_Datos!G:G,MATCH(406,_Datos!$I:$I,0)),"")</f>
        <v/>
      </c>
      <c r="H413" s="70" t="str">
        <f>IFERROR(INDEX(_Datos!H:H,MATCH(406,_Datos!$I:$I,0)),"")</f>
        <v/>
      </c>
    </row>
    <row r="414" spans="1:8" x14ac:dyDescent="0.2">
      <c r="A414" s="63" t="str">
        <f>IFERROR(INDEX(_Datos!A:A,MATCH(407,_Datos!$I:$I,0)),"")</f>
        <v/>
      </c>
      <c r="B414" s="63" t="str">
        <f>IFERROR(INDEX(_Datos!B:B,MATCH(407,_Datos!$I:$I,0)),"")</f>
        <v/>
      </c>
      <c r="C414" s="63" t="str">
        <f>IFERROR(INDEX(_Datos!C:C,MATCH(407,_Datos!$I:$I,0)),"")</f>
        <v/>
      </c>
      <c r="D414" s="64" t="str">
        <f>IFERROR(INDEX(_Datos!D:D,MATCH(407,_Datos!$I:$I,0)),"")</f>
        <v/>
      </c>
      <c r="E414" s="65" t="str">
        <f>IFERROR(INDEX(_Datos!E:E,MATCH(407,_Datos!$I:$I,0)),"")</f>
        <v/>
      </c>
      <c r="F414" s="63" t="str">
        <f>IFERROR(INDEX(_Datos!F:F,MATCH(407,_Datos!$I:$I,0)),"")</f>
        <v/>
      </c>
      <c r="G414" s="63" t="str">
        <f>IFERROR(INDEX(_Datos!G:G,MATCH(407,_Datos!$I:$I,0)),"")</f>
        <v/>
      </c>
      <c r="H414" s="66" t="str">
        <f>IFERROR(INDEX(_Datos!H:H,MATCH(407,_Datos!$I:$I,0)),"")</f>
        <v/>
      </c>
    </row>
    <row r="415" spans="1:8" x14ac:dyDescent="0.2">
      <c r="A415" s="67" t="str">
        <f>IFERROR(INDEX(_Datos!A:A,MATCH(408,_Datos!$I:$I,0)),"")</f>
        <v/>
      </c>
      <c r="B415" s="67" t="str">
        <f>IFERROR(INDEX(_Datos!B:B,MATCH(408,_Datos!$I:$I,0)),"")</f>
        <v/>
      </c>
      <c r="C415" s="67" t="str">
        <f>IFERROR(INDEX(_Datos!C:C,MATCH(408,_Datos!$I:$I,0)),"")</f>
        <v/>
      </c>
      <c r="D415" s="68" t="str">
        <f>IFERROR(INDEX(_Datos!D:D,MATCH(408,_Datos!$I:$I,0)),"")</f>
        <v/>
      </c>
      <c r="E415" s="69" t="str">
        <f>IFERROR(INDEX(_Datos!E:E,MATCH(408,_Datos!$I:$I,0)),"")</f>
        <v/>
      </c>
      <c r="F415" s="67" t="str">
        <f>IFERROR(INDEX(_Datos!F:F,MATCH(408,_Datos!$I:$I,0)),"")</f>
        <v/>
      </c>
      <c r="G415" s="67" t="str">
        <f>IFERROR(INDEX(_Datos!G:G,MATCH(408,_Datos!$I:$I,0)),"")</f>
        <v/>
      </c>
      <c r="H415" s="70" t="str">
        <f>IFERROR(INDEX(_Datos!H:H,MATCH(408,_Datos!$I:$I,0)),"")</f>
        <v/>
      </c>
    </row>
    <row r="416" spans="1:8" x14ac:dyDescent="0.2">
      <c r="A416" s="63" t="str">
        <f>IFERROR(INDEX(_Datos!A:A,MATCH(409,_Datos!$I:$I,0)),"")</f>
        <v/>
      </c>
      <c r="B416" s="63" t="str">
        <f>IFERROR(INDEX(_Datos!B:B,MATCH(409,_Datos!$I:$I,0)),"")</f>
        <v/>
      </c>
      <c r="C416" s="63" t="str">
        <f>IFERROR(INDEX(_Datos!C:C,MATCH(409,_Datos!$I:$I,0)),"")</f>
        <v/>
      </c>
      <c r="D416" s="64" t="str">
        <f>IFERROR(INDEX(_Datos!D:D,MATCH(409,_Datos!$I:$I,0)),"")</f>
        <v/>
      </c>
      <c r="E416" s="65" t="str">
        <f>IFERROR(INDEX(_Datos!E:E,MATCH(409,_Datos!$I:$I,0)),"")</f>
        <v/>
      </c>
      <c r="F416" s="63" t="str">
        <f>IFERROR(INDEX(_Datos!F:F,MATCH(409,_Datos!$I:$I,0)),"")</f>
        <v/>
      </c>
      <c r="G416" s="63" t="str">
        <f>IFERROR(INDEX(_Datos!G:G,MATCH(409,_Datos!$I:$I,0)),"")</f>
        <v/>
      </c>
      <c r="H416" s="66" t="str">
        <f>IFERROR(INDEX(_Datos!H:H,MATCH(409,_Datos!$I:$I,0)),"")</f>
        <v/>
      </c>
    </row>
    <row r="417" spans="1:8" x14ac:dyDescent="0.2">
      <c r="A417" s="67" t="str">
        <f>IFERROR(INDEX(_Datos!A:A,MATCH(410,_Datos!$I:$I,0)),"")</f>
        <v/>
      </c>
      <c r="B417" s="67" t="str">
        <f>IFERROR(INDEX(_Datos!B:B,MATCH(410,_Datos!$I:$I,0)),"")</f>
        <v/>
      </c>
      <c r="C417" s="67" t="str">
        <f>IFERROR(INDEX(_Datos!C:C,MATCH(410,_Datos!$I:$I,0)),"")</f>
        <v/>
      </c>
      <c r="D417" s="68" t="str">
        <f>IFERROR(INDEX(_Datos!D:D,MATCH(410,_Datos!$I:$I,0)),"")</f>
        <v/>
      </c>
      <c r="E417" s="69" t="str">
        <f>IFERROR(INDEX(_Datos!E:E,MATCH(410,_Datos!$I:$I,0)),"")</f>
        <v/>
      </c>
      <c r="F417" s="67" t="str">
        <f>IFERROR(INDEX(_Datos!F:F,MATCH(410,_Datos!$I:$I,0)),"")</f>
        <v/>
      </c>
      <c r="G417" s="67" t="str">
        <f>IFERROR(INDEX(_Datos!G:G,MATCH(410,_Datos!$I:$I,0)),"")</f>
        <v/>
      </c>
      <c r="H417" s="70" t="str">
        <f>IFERROR(INDEX(_Datos!H:H,MATCH(410,_Datos!$I:$I,0)),"")</f>
        <v/>
      </c>
    </row>
    <row r="418" spans="1:8" x14ac:dyDescent="0.2">
      <c r="A418" s="63" t="str">
        <f>IFERROR(INDEX(_Datos!A:A,MATCH(411,_Datos!$I:$I,0)),"")</f>
        <v/>
      </c>
      <c r="B418" s="63" t="str">
        <f>IFERROR(INDEX(_Datos!B:B,MATCH(411,_Datos!$I:$I,0)),"")</f>
        <v/>
      </c>
      <c r="C418" s="63" t="str">
        <f>IFERROR(INDEX(_Datos!C:C,MATCH(411,_Datos!$I:$I,0)),"")</f>
        <v/>
      </c>
      <c r="D418" s="64" t="str">
        <f>IFERROR(INDEX(_Datos!D:D,MATCH(411,_Datos!$I:$I,0)),"")</f>
        <v/>
      </c>
      <c r="E418" s="65" t="str">
        <f>IFERROR(INDEX(_Datos!E:E,MATCH(411,_Datos!$I:$I,0)),"")</f>
        <v/>
      </c>
      <c r="F418" s="63" t="str">
        <f>IFERROR(INDEX(_Datos!F:F,MATCH(411,_Datos!$I:$I,0)),"")</f>
        <v/>
      </c>
      <c r="G418" s="63" t="str">
        <f>IFERROR(INDEX(_Datos!G:G,MATCH(411,_Datos!$I:$I,0)),"")</f>
        <v/>
      </c>
      <c r="H418" s="66" t="str">
        <f>IFERROR(INDEX(_Datos!H:H,MATCH(411,_Datos!$I:$I,0)),"")</f>
        <v/>
      </c>
    </row>
    <row r="419" spans="1:8" x14ac:dyDescent="0.2">
      <c r="A419" s="67" t="str">
        <f>IFERROR(INDEX(_Datos!A:A,MATCH(412,_Datos!$I:$I,0)),"")</f>
        <v/>
      </c>
      <c r="B419" s="67" t="str">
        <f>IFERROR(INDEX(_Datos!B:B,MATCH(412,_Datos!$I:$I,0)),"")</f>
        <v/>
      </c>
      <c r="C419" s="67" t="str">
        <f>IFERROR(INDEX(_Datos!C:C,MATCH(412,_Datos!$I:$I,0)),"")</f>
        <v/>
      </c>
      <c r="D419" s="68" t="str">
        <f>IFERROR(INDEX(_Datos!D:D,MATCH(412,_Datos!$I:$I,0)),"")</f>
        <v/>
      </c>
      <c r="E419" s="69" t="str">
        <f>IFERROR(INDEX(_Datos!E:E,MATCH(412,_Datos!$I:$I,0)),"")</f>
        <v/>
      </c>
      <c r="F419" s="67" t="str">
        <f>IFERROR(INDEX(_Datos!F:F,MATCH(412,_Datos!$I:$I,0)),"")</f>
        <v/>
      </c>
      <c r="G419" s="67" t="str">
        <f>IFERROR(INDEX(_Datos!G:G,MATCH(412,_Datos!$I:$I,0)),"")</f>
        <v/>
      </c>
      <c r="H419" s="70" t="str">
        <f>IFERROR(INDEX(_Datos!H:H,MATCH(412,_Datos!$I:$I,0)),"")</f>
        <v/>
      </c>
    </row>
    <row r="420" spans="1:8" x14ac:dyDescent="0.2">
      <c r="A420" s="63" t="str">
        <f>IFERROR(INDEX(_Datos!A:A,MATCH(413,_Datos!$I:$I,0)),"")</f>
        <v/>
      </c>
      <c r="B420" s="63" t="str">
        <f>IFERROR(INDEX(_Datos!B:B,MATCH(413,_Datos!$I:$I,0)),"")</f>
        <v/>
      </c>
      <c r="C420" s="63" t="str">
        <f>IFERROR(INDEX(_Datos!C:C,MATCH(413,_Datos!$I:$I,0)),"")</f>
        <v/>
      </c>
      <c r="D420" s="64" t="str">
        <f>IFERROR(INDEX(_Datos!D:D,MATCH(413,_Datos!$I:$I,0)),"")</f>
        <v/>
      </c>
      <c r="E420" s="65" t="str">
        <f>IFERROR(INDEX(_Datos!E:E,MATCH(413,_Datos!$I:$I,0)),"")</f>
        <v/>
      </c>
      <c r="F420" s="63" t="str">
        <f>IFERROR(INDEX(_Datos!F:F,MATCH(413,_Datos!$I:$I,0)),"")</f>
        <v/>
      </c>
      <c r="G420" s="63" t="str">
        <f>IFERROR(INDEX(_Datos!G:G,MATCH(413,_Datos!$I:$I,0)),"")</f>
        <v/>
      </c>
      <c r="H420" s="66" t="str">
        <f>IFERROR(INDEX(_Datos!H:H,MATCH(413,_Datos!$I:$I,0)),"")</f>
        <v/>
      </c>
    </row>
    <row r="421" spans="1:8" x14ac:dyDescent="0.2">
      <c r="A421" s="67" t="str">
        <f>IFERROR(INDEX(_Datos!A:A,MATCH(414,_Datos!$I:$I,0)),"")</f>
        <v/>
      </c>
      <c r="B421" s="67" t="str">
        <f>IFERROR(INDEX(_Datos!B:B,MATCH(414,_Datos!$I:$I,0)),"")</f>
        <v/>
      </c>
      <c r="C421" s="67" t="str">
        <f>IFERROR(INDEX(_Datos!C:C,MATCH(414,_Datos!$I:$I,0)),"")</f>
        <v/>
      </c>
      <c r="D421" s="68" t="str">
        <f>IFERROR(INDEX(_Datos!D:D,MATCH(414,_Datos!$I:$I,0)),"")</f>
        <v/>
      </c>
      <c r="E421" s="69" t="str">
        <f>IFERROR(INDEX(_Datos!E:E,MATCH(414,_Datos!$I:$I,0)),"")</f>
        <v/>
      </c>
      <c r="F421" s="67" t="str">
        <f>IFERROR(INDEX(_Datos!F:F,MATCH(414,_Datos!$I:$I,0)),"")</f>
        <v/>
      </c>
      <c r="G421" s="67" t="str">
        <f>IFERROR(INDEX(_Datos!G:G,MATCH(414,_Datos!$I:$I,0)),"")</f>
        <v/>
      </c>
      <c r="H421" s="70" t="str">
        <f>IFERROR(INDEX(_Datos!H:H,MATCH(414,_Datos!$I:$I,0)),"")</f>
        <v/>
      </c>
    </row>
    <row r="422" spans="1:8" x14ac:dyDescent="0.2">
      <c r="A422" s="63" t="str">
        <f>IFERROR(INDEX(_Datos!A:A,MATCH(415,_Datos!$I:$I,0)),"")</f>
        <v/>
      </c>
      <c r="B422" s="63" t="str">
        <f>IFERROR(INDEX(_Datos!B:B,MATCH(415,_Datos!$I:$I,0)),"")</f>
        <v/>
      </c>
      <c r="C422" s="63" t="str">
        <f>IFERROR(INDEX(_Datos!C:C,MATCH(415,_Datos!$I:$I,0)),"")</f>
        <v/>
      </c>
      <c r="D422" s="64" t="str">
        <f>IFERROR(INDEX(_Datos!D:D,MATCH(415,_Datos!$I:$I,0)),"")</f>
        <v/>
      </c>
      <c r="E422" s="65" t="str">
        <f>IFERROR(INDEX(_Datos!E:E,MATCH(415,_Datos!$I:$I,0)),"")</f>
        <v/>
      </c>
      <c r="F422" s="63" t="str">
        <f>IFERROR(INDEX(_Datos!F:F,MATCH(415,_Datos!$I:$I,0)),"")</f>
        <v/>
      </c>
      <c r="G422" s="63" t="str">
        <f>IFERROR(INDEX(_Datos!G:G,MATCH(415,_Datos!$I:$I,0)),"")</f>
        <v/>
      </c>
      <c r="H422" s="66" t="str">
        <f>IFERROR(INDEX(_Datos!H:H,MATCH(415,_Datos!$I:$I,0)),"")</f>
        <v/>
      </c>
    </row>
    <row r="423" spans="1:8" x14ac:dyDescent="0.2">
      <c r="A423" s="67" t="str">
        <f>IFERROR(INDEX(_Datos!A:A,MATCH(416,_Datos!$I:$I,0)),"")</f>
        <v/>
      </c>
      <c r="B423" s="67" t="str">
        <f>IFERROR(INDEX(_Datos!B:B,MATCH(416,_Datos!$I:$I,0)),"")</f>
        <v/>
      </c>
      <c r="C423" s="67" t="str">
        <f>IFERROR(INDEX(_Datos!C:C,MATCH(416,_Datos!$I:$I,0)),"")</f>
        <v/>
      </c>
      <c r="D423" s="68" t="str">
        <f>IFERROR(INDEX(_Datos!D:D,MATCH(416,_Datos!$I:$I,0)),"")</f>
        <v/>
      </c>
      <c r="E423" s="69" t="str">
        <f>IFERROR(INDEX(_Datos!E:E,MATCH(416,_Datos!$I:$I,0)),"")</f>
        <v/>
      </c>
      <c r="F423" s="67" t="str">
        <f>IFERROR(INDEX(_Datos!F:F,MATCH(416,_Datos!$I:$I,0)),"")</f>
        <v/>
      </c>
      <c r="G423" s="67" t="str">
        <f>IFERROR(INDEX(_Datos!G:G,MATCH(416,_Datos!$I:$I,0)),"")</f>
        <v/>
      </c>
      <c r="H423" s="70" t="str">
        <f>IFERROR(INDEX(_Datos!H:H,MATCH(416,_Datos!$I:$I,0)),"")</f>
        <v/>
      </c>
    </row>
    <row r="424" spans="1:8" x14ac:dyDescent="0.2">
      <c r="A424" s="63" t="str">
        <f>IFERROR(INDEX(_Datos!A:A,MATCH(417,_Datos!$I:$I,0)),"")</f>
        <v/>
      </c>
      <c r="B424" s="63" t="str">
        <f>IFERROR(INDEX(_Datos!B:B,MATCH(417,_Datos!$I:$I,0)),"")</f>
        <v/>
      </c>
      <c r="C424" s="63" t="str">
        <f>IFERROR(INDEX(_Datos!C:C,MATCH(417,_Datos!$I:$I,0)),"")</f>
        <v/>
      </c>
      <c r="D424" s="64" t="str">
        <f>IFERROR(INDEX(_Datos!D:D,MATCH(417,_Datos!$I:$I,0)),"")</f>
        <v/>
      </c>
      <c r="E424" s="65" t="str">
        <f>IFERROR(INDEX(_Datos!E:E,MATCH(417,_Datos!$I:$I,0)),"")</f>
        <v/>
      </c>
      <c r="F424" s="63" t="str">
        <f>IFERROR(INDEX(_Datos!F:F,MATCH(417,_Datos!$I:$I,0)),"")</f>
        <v/>
      </c>
      <c r="G424" s="63" t="str">
        <f>IFERROR(INDEX(_Datos!G:G,MATCH(417,_Datos!$I:$I,0)),"")</f>
        <v/>
      </c>
      <c r="H424" s="66" t="str">
        <f>IFERROR(INDEX(_Datos!H:H,MATCH(417,_Datos!$I:$I,0)),"")</f>
        <v/>
      </c>
    </row>
    <row r="425" spans="1:8" x14ac:dyDescent="0.2">
      <c r="A425" s="67" t="str">
        <f>IFERROR(INDEX(_Datos!A:A,MATCH(418,_Datos!$I:$I,0)),"")</f>
        <v/>
      </c>
      <c r="B425" s="67" t="str">
        <f>IFERROR(INDEX(_Datos!B:B,MATCH(418,_Datos!$I:$I,0)),"")</f>
        <v/>
      </c>
      <c r="C425" s="67" t="str">
        <f>IFERROR(INDEX(_Datos!C:C,MATCH(418,_Datos!$I:$I,0)),"")</f>
        <v/>
      </c>
      <c r="D425" s="68" t="str">
        <f>IFERROR(INDEX(_Datos!D:D,MATCH(418,_Datos!$I:$I,0)),"")</f>
        <v/>
      </c>
      <c r="E425" s="69" t="str">
        <f>IFERROR(INDEX(_Datos!E:E,MATCH(418,_Datos!$I:$I,0)),"")</f>
        <v/>
      </c>
      <c r="F425" s="67" t="str">
        <f>IFERROR(INDEX(_Datos!F:F,MATCH(418,_Datos!$I:$I,0)),"")</f>
        <v/>
      </c>
      <c r="G425" s="67" t="str">
        <f>IFERROR(INDEX(_Datos!G:G,MATCH(418,_Datos!$I:$I,0)),"")</f>
        <v/>
      </c>
      <c r="H425" s="70" t="str">
        <f>IFERROR(INDEX(_Datos!H:H,MATCH(418,_Datos!$I:$I,0)),"")</f>
        <v/>
      </c>
    </row>
    <row r="426" spans="1:8" x14ac:dyDescent="0.2">
      <c r="A426" s="63" t="str">
        <f>IFERROR(INDEX(_Datos!A:A,MATCH(419,_Datos!$I:$I,0)),"")</f>
        <v/>
      </c>
      <c r="B426" s="63" t="str">
        <f>IFERROR(INDEX(_Datos!B:B,MATCH(419,_Datos!$I:$I,0)),"")</f>
        <v/>
      </c>
      <c r="C426" s="63" t="str">
        <f>IFERROR(INDEX(_Datos!C:C,MATCH(419,_Datos!$I:$I,0)),"")</f>
        <v/>
      </c>
      <c r="D426" s="64" t="str">
        <f>IFERROR(INDEX(_Datos!D:D,MATCH(419,_Datos!$I:$I,0)),"")</f>
        <v/>
      </c>
      <c r="E426" s="65" t="str">
        <f>IFERROR(INDEX(_Datos!E:E,MATCH(419,_Datos!$I:$I,0)),"")</f>
        <v/>
      </c>
      <c r="F426" s="63" t="str">
        <f>IFERROR(INDEX(_Datos!F:F,MATCH(419,_Datos!$I:$I,0)),"")</f>
        <v/>
      </c>
      <c r="G426" s="63" t="str">
        <f>IFERROR(INDEX(_Datos!G:G,MATCH(419,_Datos!$I:$I,0)),"")</f>
        <v/>
      </c>
      <c r="H426" s="66" t="str">
        <f>IFERROR(INDEX(_Datos!H:H,MATCH(419,_Datos!$I:$I,0)),"")</f>
        <v/>
      </c>
    </row>
    <row r="427" spans="1:8" x14ac:dyDescent="0.2">
      <c r="A427" s="67" t="str">
        <f>IFERROR(INDEX(_Datos!A:A,MATCH(420,_Datos!$I:$I,0)),"")</f>
        <v/>
      </c>
      <c r="B427" s="67" t="str">
        <f>IFERROR(INDEX(_Datos!B:B,MATCH(420,_Datos!$I:$I,0)),"")</f>
        <v/>
      </c>
      <c r="C427" s="67" t="str">
        <f>IFERROR(INDEX(_Datos!C:C,MATCH(420,_Datos!$I:$I,0)),"")</f>
        <v/>
      </c>
      <c r="D427" s="68" t="str">
        <f>IFERROR(INDEX(_Datos!D:D,MATCH(420,_Datos!$I:$I,0)),"")</f>
        <v/>
      </c>
      <c r="E427" s="69" t="str">
        <f>IFERROR(INDEX(_Datos!E:E,MATCH(420,_Datos!$I:$I,0)),"")</f>
        <v/>
      </c>
      <c r="F427" s="67" t="str">
        <f>IFERROR(INDEX(_Datos!F:F,MATCH(420,_Datos!$I:$I,0)),"")</f>
        <v/>
      </c>
      <c r="G427" s="67" t="str">
        <f>IFERROR(INDEX(_Datos!G:G,MATCH(420,_Datos!$I:$I,0)),"")</f>
        <v/>
      </c>
      <c r="H427" s="70" t="str">
        <f>IFERROR(INDEX(_Datos!H:H,MATCH(420,_Datos!$I:$I,0)),"")</f>
        <v/>
      </c>
    </row>
    <row r="428" spans="1:8" x14ac:dyDescent="0.2">
      <c r="A428" s="63" t="str">
        <f>IFERROR(INDEX(_Datos!A:A,MATCH(421,_Datos!$I:$I,0)),"")</f>
        <v/>
      </c>
      <c r="B428" s="63" t="str">
        <f>IFERROR(INDEX(_Datos!B:B,MATCH(421,_Datos!$I:$I,0)),"")</f>
        <v/>
      </c>
      <c r="C428" s="63" t="str">
        <f>IFERROR(INDEX(_Datos!C:C,MATCH(421,_Datos!$I:$I,0)),"")</f>
        <v/>
      </c>
      <c r="D428" s="64" t="str">
        <f>IFERROR(INDEX(_Datos!D:D,MATCH(421,_Datos!$I:$I,0)),"")</f>
        <v/>
      </c>
      <c r="E428" s="65" t="str">
        <f>IFERROR(INDEX(_Datos!E:E,MATCH(421,_Datos!$I:$I,0)),"")</f>
        <v/>
      </c>
      <c r="F428" s="63" t="str">
        <f>IFERROR(INDEX(_Datos!F:F,MATCH(421,_Datos!$I:$I,0)),"")</f>
        <v/>
      </c>
      <c r="G428" s="63" t="str">
        <f>IFERROR(INDEX(_Datos!G:G,MATCH(421,_Datos!$I:$I,0)),"")</f>
        <v/>
      </c>
      <c r="H428" s="66" t="str">
        <f>IFERROR(INDEX(_Datos!H:H,MATCH(421,_Datos!$I:$I,0)),"")</f>
        <v/>
      </c>
    </row>
    <row r="429" spans="1:8" x14ac:dyDescent="0.2">
      <c r="A429" s="67" t="str">
        <f>IFERROR(INDEX(_Datos!A:A,MATCH(422,_Datos!$I:$I,0)),"")</f>
        <v/>
      </c>
      <c r="B429" s="67" t="str">
        <f>IFERROR(INDEX(_Datos!B:B,MATCH(422,_Datos!$I:$I,0)),"")</f>
        <v/>
      </c>
      <c r="C429" s="67" t="str">
        <f>IFERROR(INDEX(_Datos!C:C,MATCH(422,_Datos!$I:$I,0)),"")</f>
        <v/>
      </c>
      <c r="D429" s="68" t="str">
        <f>IFERROR(INDEX(_Datos!D:D,MATCH(422,_Datos!$I:$I,0)),"")</f>
        <v/>
      </c>
      <c r="E429" s="69" t="str">
        <f>IFERROR(INDEX(_Datos!E:E,MATCH(422,_Datos!$I:$I,0)),"")</f>
        <v/>
      </c>
      <c r="F429" s="67" t="str">
        <f>IFERROR(INDEX(_Datos!F:F,MATCH(422,_Datos!$I:$I,0)),"")</f>
        <v/>
      </c>
      <c r="G429" s="67" t="str">
        <f>IFERROR(INDEX(_Datos!G:G,MATCH(422,_Datos!$I:$I,0)),"")</f>
        <v/>
      </c>
      <c r="H429" s="70" t="str">
        <f>IFERROR(INDEX(_Datos!H:H,MATCH(422,_Datos!$I:$I,0)),"")</f>
        <v/>
      </c>
    </row>
    <row r="430" spans="1:8" x14ac:dyDescent="0.2">
      <c r="A430" s="63" t="str">
        <f>IFERROR(INDEX(_Datos!A:A,MATCH(423,_Datos!$I:$I,0)),"")</f>
        <v/>
      </c>
      <c r="B430" s="63" t="str">
        <f>IFERROR(INDEX(_Datos!B:B,MATCH(423,_Datos!$I:$I,0)),"")</f>
        <v/>
      </c>
      <c r="C430" s="63" t="str">
        <f>IFERROR(INDEX(_Datos!C:C,MATCH(423,_Datos!$I:$I,0)),"")</f>
        <v/>
      </c>
      <c r="D430" s="64" t="str">
        <f>IFERROR(INDEX(_Datos!D:D,MATCH(423,_Datos!$I:$I,0)),"")</f>
        <v/>
      </c>
      <c r="E430" s="65" t="str">
        <f>IFERROR(INDEX(_Datos!E:E,MATCH(423,_Datos!$I:$I,0)),"")</f>
        <v/>
      </c>
      <c r="F430" s="63" t="str">
        <f>IFERROR(INDEX(_Datos!F:F,MATCH(423,_Datos!$I:$I,0)),"")</f>
        <v/>
      </c>
      <c r="G430" s="63" t="str">
        <f>IFERROR(INDEX(_Datos!G:G,MATCH(423,_Datos!$I:$I,0)),"")</f>
        <v/>
      </c>
      <c r="H430" s="66" t="str">
        <f>IFERROR(INDEX(_Datos!H:H,MATCH(423,_Datos!$I:$I,0)),"")</f>
        <v/>
      </c>
    </row>
    <row r="431" spans="1:8" x14ac:dyDescent="0.2">
      <c r="A431" s="67" t="str">
        <f>IFERROR(INDEX(_Datos!A:A,MATCH(424,_Datos!$I:$I,0)),"")</f>
        <v/>
      </c>
      <c r="B431" s="67" t="str">
        <f>IFERROR(INDEX(_Datos!B:B,MATCH(424,_Datos!$I:$I,0)),"")</f>
        <v/>
      </c>
      <c r="C431" s="67" t="str">
        <f>IFERROR(INDEX(_Datos!C:C,MATCH(424,_Datos!$I:$I,0)),"")</f>
        <v/>
      </c>
      <c r="D431" s="68" t="str">
        <f>IFERROR(INDEX(_Datos!D:D,MATCH(424,_Datos!$I:$I,0)),"")</f>
        <v/>
      </c>
      <c r="E431" s="69" t="str">
        <f>IFERROR(INDEX(_Datos!E:E,MATCH(424,_Datos!$I:$I,0)),"")</f>
        <v/>
      </c>
      <c r="F431" s="67" t="str">
        <f>IFERROR(INDEX(_Datos!F:F,MATCH(424,_Datos!$I:$I,0)),"")</f>
        <v/>
      </c>
      <c r="G431" s="67" t="str">
        <f>IFERROR(INDEX(_Datos!G:G,MATCH(424,_Datos!$I:$I,0)),"")</f>
        <v/>
      </c>
      <c r="H431" s="70" t="str">
        <f>IFERROR(INDEX(_Datos!H:H,MATCH(424,_Datos!$I:$I,0)),"")</f>
        <v/>
      </c>
    </row>
    <row r="432" spans="1:8" x14ac:dyDescent="0.2">
      <c r="A432" s="63" t="str">
        <f>IFERROR(INDEX(_Datos!A:A,MATCH(425,_Datos!$I:$I,0)),"")</f>
        <v/>
      </c>
      <c r="B432" s="63" t="str">
        <f>IFERROR(INDEX(_Datos!B:B,MATCH(425,_Datos!$I:$I,0)),"")</f>
        <v/>
      </c>
      <c r="C432" s="63" t="str">
        <f>IFERROR(INDEX(_Datos!C:C,MATCH(425,_Datos!$I:$I,0)),"")</f>
        <v/>
      </c>
      <c r="D432" s="64" t="str">
        <f>IFERROR(INDEX(_Datos!D:D,MATCH(425,_Datos!$I:$I,0)),"")</f>
        <v/>
      </c>
      <c r="E432" s="65" t="str">
        <f>IFERROR(INDEX(_Datos!E:E,MATCH(425,_Datos!$I:$I,0)),"")</f>
        <v/>
      </c>
      <c r="F432" s="63" t="str">
        <f>IFERROR(INDEX(_Datos!F:F,MATCH(425,_Datos!$I:$I,0)),"")</f>
        <v/>
      </c>
      <c r="G432" s="63" t="str">
        <f>IFERROR(INDEX(_Datos!G:G,MATCH(425,_Datos!$I:$I,0)),"")</f>
        <v/>
      </c>
      <c r="H432" s="66" t="str">
        <f>IFERROR(INDEX(_Datos!H:H,MATCH(425,_Datos!$I:$I,0)),"")</f>
        <v/>
      </c>
    </row>
    <row r="433" spans="1:8" x14ac:dyDescent="0.2">
      <c r="A433" s="67" t="str">
        <f>IFERROR(INDEX(_Datos!A:A,MATCH(426,_Datos!$I:$I,0)),"")</f>
        <v/>
      </c>
      <c r="B433" s="67" t="str">
        <f>IFERROR(INDEX(_Datos!B:B,MATCH(426,_Datos!$I:$I,0)),"")</f>
        <v/>
      </c>
      <c r="C433" s="67" t="str">
        <f>IFERROR(INDEX(_Datos!C:C,MATCH(426,_Datos!$I:$I,0)),"")</f>
        <v/>
      </c>
      <c r="D433" s="68" t="str">
        <f>IFERROR(INDEX(_Datos!D:D,MATCH(426,_Datos!$I:$I,0)),"")</f>
        <v/>
      </c>
      <c r="E433" s="69" t="str">
        <f>IFERROR(INDEX(_Datos!E:E,MATCH(426,_Datos!$I:$I,0)),"")</f>
        <v/>
      </c>
      <c r="F433" s="67" t="str">
        <f>IFERROR(INDEX(_Datos!F:F,MATCH(426,_Datos!$I:$I,0)),"")</f>
        <v/>
      </c>
      <c r="G433" s="67" t="str">
        <f>IFERROR(INDEX(_Datos!G:G,MATCH(426,_Datos!$I:$I,0)),"")</f>
        <v/>
      </c>
      <c r="H433" s="70" t="str">
        <f>IFERROR(INDEX(_Datos!H:H,MATCH(426,_Datos!$I:$I,0)),"")</f>
        <v/>
      </c>
    </row>
    <row r="434" spans="1:8" x14ac:dyDescent="0.2">
      <c r="A434" s="63" t="str">
        <f>IFERROR(INDEX(_Datos!A:A,MATCH(427,_Datos!$I:$I,0)),"")</f>
        <v/>
      </c>
      <c r="B434" s="63" t="str">
        <f>IFERROR(INDEX(_Datos!B:B,MATCH(427,_Datos!$I:$I,0)),"")</f>
        <v/>
      </c>
      <c r="C434" s="63" t="str">
        <f>IFERROR(INDEX(_Datos!C:C,MATCH(427,_Datos!$I:$I,0)),"")</f>
        <v/>
      </c>
      <c r="D434" s="64" t="str">
        <f>IFERROR(INDEX(_Datos!D:D,MATCH(427,_Datos!$I:$I,0)),"")</f>
        <v/>
      </c>
      <c r="E434" s="65" t="str">
        <f>IFERROR(INDEX(_Datos!E:E,MATCH(427,_Datos!$I:$I,0)),"")</f>
        <v/>
      </c>
      <c r="F434" s="63" t="str">
        <f>IFERROR(INDEX(_Datos!F:F,MATCH(427,_Datos!$I:$I,0)),"")</f>
        <v/>
      </c>
      <c r="G434" s="63" t="str">
        <f>IFERROR(INDEX(_Datos!G:G,MATCH(427,_Datos!$I:$I,0)),"")</f>
        <v/>
      </c>
      <c r="H434" s="66" t="str">
        <f>IFERROR(INDEX(_Datos!H:H,MATCH(427,_Datos!$I:$I,0)),"")</f>
        <v/>
      </c>
    </row>
    <row r="435" spans="1:8" x14ac:dyDescent="0.2">
      <c r="A435" s="67" t="str">
        <f>IFERROR(INDEX(_Datos!A:A,MATCH(428,_Datos!$I:$I,0)),"")</f>
        <v/>
      </c>
      <c r="B435" s="67" t="str">
        <f>IFERROR(INDEX(_Datos!B:B,MATCH(428,_Datos!$I:$I,0)),"")</f>
        <v/>
      </c>
      <c r="C435" s="67" t="str">
        <f>IFERROR(INDEX(_Datos!C:C,MATCH(428,_Datos!$I:$I,0)),"")</f>
        <v/>
      </c>
      <c r="D435" s="68" t="str">
        <f>IFERROR(INDEX(_Datos!D:D,MATCH(428,_Datos!$I:$I,0)),"")</f>
        <v/>
      </c>
      <c r="E435" s="69" t="str">
        <f>IFERROR(INDEX(_Datos!E:E,MATCH(428,_Datos!$I:$I,0)),"")</f>
        <v/>
      </c>
      <c r="F435" s="67" t="str">
        <f>IFERROR(INDEX(_Datos!F:F,MATCH(428,_Datos!$I:$I,0)),"")</f>
        <v/>
      </c>
      <c r="G435" s="67" t="str">
        <f>IFERROR(INDEX(_Datos!G:G,MATCH(428,_Datos!$I:$I,0)),"")</f>
        <v/>
      </c>
      <c r="H435" s="70" t="str">
        <f>IFERROR(INDEX(_Datos!H:H,MATCH(428,_Datos!$I:$I,0)),"")</f>
        <v/>
      </c>
    </row>
    <row r="436" spans="1:8" x14ac:dyDescent="0.2">
      <c r="A436" s="63" t="str">
        <f>IFERROR(INDEX(_Datos!A:A,MATCH(429,_Datos!$I:$I,0)),"")</f>
        <v/>
      </c>
      <c r="B436" s="63" t="str">
        <f>IFERROR(INDEX(_Datos!B:B,MATCH(429,_Datos!$I:$I,0)),"")</f>
        <v/>
      </c>
      <c r="C436" s="63" t="str">
        <f>IFERROR(INDEX(_Datos!C:C,MATCH(429,_Datos!$I:$I,0)),"")</f>
        <v/>
      </c>
      <c r="D436" s="64" t="str">
        <f>IFERROR(INDEX(_Datos!D:D,MATCH(429,_Datos!$I:$I,0)),"")</f>
        <v/>
      </c>
      <c r="E436" s="65" t="str">
        <f>IFERROR(INDEX(_Datos!E:E,MATCH(429,_Datos!$I:$I,0)),"")</f>
        <v/>
      </c>
      <c r="F436" s="63" t="str">
        <f>IFERROR(INDEX(_Datos!F:F,MATCH(429,_Datos!$I:$I,0)),"")</f>
        <v/>
      </c>
      <c r="G436" s="63" t="str">
        <f>IFERROR(INDEX(_Datos!G:G,MATCH(429,_Datos!$I:$I,0)),"")</f>
        <v/>
      </c>
      <c r="H436" s="66" t="str">
        <f>IFERROR(INDEX(_Datos!H:H,MATCH(429,_Datos!$I:$I,0)),"")</f>
        <v/>
      </c>
    </row>
    <row r="437" spans="1:8" x14ac:dyDescent="0.2">
      <c r="A437" s="67" t="str">
        <f>IFERROR(INDEX(_Datos!A:A,MATCH(430,_Datos!$I:$I,0)),"")</f>
        <v/>
      </c>
      <c r="B437" s="67" t="str">
        <f>IFERROR(INDEX(_Datos!B:B,MATCH(430,_Datos!$I:$I,0)),"")</f>
        <v/>
      </c>
      <c r="C437" s="67" t="str">
        <f>IFERROR(INDEX(_Datos!C:C,MATCH(430,_Datos!$I:$I,0)),"")</f>
        <v/>
      </c>
      <c r="D437" s="68" t="str">
        <f>IFERROR(INDEX(_Datos!D:D,MATCH(430,_Datos!$I:$I,0)),"")</f>
        <v/>
      </c>
      <c r="E437" s="69" t="str">
        <f>IFERROR(INDEX(_Datos!E:E,MATCH(430,_Datos!$I:$I,0)),"")</f>
        <v/>
      </c>
      <c r="F437" s="67" t="str">
        <f>IFERROR(INDEX(_Datos!F:F,MATCH(430,_Datos!$I:$I,0)),"")</f>
        <v/>
      </c>
      <c r="G437" s="67" t="str">
        <f>IFERROR(INDEX(_Datos!G:G,MATCH(430,_Datos!$I:$I,0)),"")</f>
        <v/>
      </c>
      <c r="H437" s="70" t="str">
        <f>IFERROR(INDEX(_Datos!H:H,MATCH(430,_Datos!$I:$I,0)),"")</f>
        <v/>
      </c>
    </row>
    <row r="438" spans="1:8" x14ac:dyDescent="0.2">
      <c r="A438" s="63" t="str">
        <f>IFERROR(INDEX(_Datos!A:A,MATCH(431,_Datos!$I:$I,0)),"")</f>
        <v/>
      </c>
      <c r="B438" s="63" t="str">
        <f>IFERROR(INDEX(_Datos!B:B,MATCH(431,_Datos!$I:$I,0)),"")</f>
        <v/>
      </c>
      <c r="C438" s="63" t="str">
        <f>IFERROR(INDEX(_Datos!C:C,MATCH(431,_Datos!$I:$I,0)),"")</f>
        <v/>
      </c>
      <c r="D438" s="64" t="str">
        <f>IFERROR(INDEX(_Datos!D:D,MATCH(431,_Datos!$I:$I,0)),"")</f>
        <v/>
      </c>
      <c r="E438" s="65" t="str">
        <f>IFERROR(INDEX(_Datos!E:E,MATCH(431,_Datos!$I:$I,0)),"")</f>
        <v/>
      </c>
      <c r="F438" s="63" t="str">
        <f>IFERROR(INDEX(_Datos!F:F,MATCH(431,_Datos!$I:$I,0)),"")</f>
        <v/>
      </c>
      <c r="G438" s="63" t="str">
        <f>IFERROR(INDEX(_Datos!G:G,MATCH(431,_Datos!$I:$I,0)),"")</f>
        <v/>
      </c>
      <c r="H438" s="66" t="str">
        <f>IFERROR(INDEX(_Datos!H:H,MATCH(431,_Datos!$I:$I,0)),"")</f>
        <v/>
      </c>
    </row>
    <row r="439" spans="1:8" x14ac:dyDescent="0.2">
      <c r="A439" s="67" t="str">
        <f>IFERROR(INDEX(_Datos!A:A,MATCH(432,_Datos!$I:$I,0)),"")</f>
        <v/>
      </c>
      <c r="B439" s="67" t="str">
        <f>IFERROR(INDEX(_Datos!B:B,MATCH(432,_Datos!$I:$I,0)),"")</f>
        <v/>
      </c>
      <c r="C439" s="67" t="str">
        <f>IFERROR(INDEX(_Datos!C:C,MATCH(432,_Datos!$I:$I,0)),"")</f>
        <v/>
      </c>
      <c r="D439" s="68" t="str">
        <f>IFERROR(INDEX(_Datos!D:D,MATCH(432,_Datos!$I:$I,0)),"")</f>
        <v/>
      </c>
      <c r="E439" s="69" t="str">
        <f>IFERROR(INDEX(_Datos!E:E,MATCH(432,_Datos!$I:$I,0)),"")</f>
        <v/>
      </c>
      <c r="F439" s="67" t="str">
        <f>IFERROR(INDEX(_Datos!F:F,MATCH(432,_Datos!$I:$I,0)),"")</f>
        <v/>
      </c>
      <c r="G439" s="67" t="str">
        <f>IFERROR(INDEX(_Datos!G:G,MATCH(432,_Datos!$I:$I,0)),"")</f>
        <v/>
      </c>
      <c r="H439" s="70" t="str">
        <f>IFERROR(INDEX(_Datos!H:H,MATCH(432,_Datos!$I:$I,0)),"")</f>
        <v/>
      </c>
    </row>
    <row r="440" spans="1:8" x14ac:dyDescent="0.2">
      <c r="A440" s="63" t="str">
        <f>IFERROR(INDEX(_Datos!A:A,MATCH(433,_Datos!$I:$I,0)),"")</f>
        <v/>
      </c>
      <c r="B440" s="63" t="str">
        <f>IFERROR(INDEX(_Datos!B:B,MATCH(433,_Datos!$I:$I,0)),"")</f>
        <v/>
      </c>
      <c r="C440" s="63" t="str">
        <f>IFERROR(INDEX(_Datos!C:C,MATCH(433,_Datos!$I:$I,0)),"")</f>
        <v/>
      </c>
      <c r="D440" s="64" t="str">
        <f>IFERROR(INDEX(_Datos!D:D,MATCH(433,_Datos!$I:$I,0)),"")</f>
        <v/>
      </c>
      <c r="E440" s="65" t="str">
        <f>IFERROR(INDEX(_Datos!E:E,MATCH(433,_Datos!$I:$I,0)),"")</f>
        <v/>
      </c>
      <c r="F440" s="63" t="str">
        <f>IFERROR(INDEX(_Datos!F:F,MATCH(433,_Datos!$I:$I,0)),"")</f>
        <v/>
      </c>
      <c r="G440" s="63" t="str">
        <f>IFERROR(INDEX(_Datos!G:G,MATCH(433,_Datos!$I:$I,0)),"")</f>
        <v/>
      </c>
      <c r="H440" s="66" t="str">
        <f>IFERROR(INDEX(_Datos!H:H,MATCH(433,_Datos!$I:$I,0)),"")</f>
        <v/>
      </c>
    </row>
    <row r="441" spans="1:8" x14ac:dyDescent="0.2">
      <c r="A441" s="67" t="str">
        <f>IFERROR(INDEX(_Datos!A:A,MATCH(434,_Datos!$I:$I,0)),"")</f>
        <v/>
      </c>
      <c r="B441" s="67" t="str">
        <f>IFERROR(INDEX(_Datos!B:B,MATCH(434,_Datos!$I:$I,0)),"")</f>
        <v/>
      </c>
      <c r="C441" s="67" t="str">
        <f>IFERROR(INDEX(_Datos!C:C,MATCH(434,_Datos!$I:$I,0)),"")</f>
        <v/>
      </c>
      <c r="D441" s="68" t="str">
        <f>IFERROR(INDEX(_Datos!D:D,MATCH(434,_Datos!$I:$I,0)),"")</f>
        <v/>
      </c>
      <c r="E441" s="69" t="str">
        <f>IFERROR(INDEX(_Datos!E:E,MATCH(434,_Datos!$I:$I,0)),"")</f>
        <v/>
      </c>
      <c r="F441" s="67" t="str">
        <f>IFERROR(INDEX(_Datos!F:F,MATCH(434,_Datos!$I:$I,0)),"")</f>
        <v/>
      </c>
      <c r="G441" s="67" t="str">
        <f>IFERROR(INDEX(_Datos!G:G,MATCH(434,_Datos!$I:$I,0)),"")</f>
        <v/>
      </c>
      <c r="H441" s="70" t="str">
        <f>IFERROR(INDEX(_Datos!H:H,MATCH(434,_Datos!$I:$I,0)),"")</f>
        <v/>
      </c>
    </row>
    <row r="442" spans="1:8" x14ac:dyDescent="0.2">
      <c r="A442" s="63" t="str">
        <f>IFERROR(INDEX(_Datos!A:A,MATCH(435,_Datos!$I:$I,0)),"")</f>
        <v/>
      </c>
      <c r="B442" s="63" t="str">
        <f>IFERROR(INDEX(_Datos!B:B,MATCH(435,_Datos!$I:$I,0)),"")</f>
        <v/>
      </c>
      <c r="C442" s="63" t="str">
        <f>IFERROR(INDEX(_Datos!C:C,MATCH(435,_Datos!$I:$I,0)),"")</f>
        <v/>
      </c>
      <c r="D442" s="64" t="str">
        <f>IFERROR(INDEX(_Datos!D:D,MATCH(435,_Datos!$I:$I,0)),"")</f>
        <v/>
      </c>
      <c r="E442" s="65" t="str">
        <f>IFERROR(INDEX(_Datos!E:E,MATCH(435,_Datos!$I:$I,0)),"")</f>
        <v/>
      </c>
      <c r="F442" s="63" t="str">
        <f>IFERROR(INDEX(_Datos!F:F,MATCH(435,_Datos!$I:$I,0)),"")</f>
        <v/>
      </c>
      <c r="G442" s="63" t="str">
        <f>IFERROR(INDEX(_Datos!G:G,MATCH(435,_Datos!$I:$I,0)),"")</f>
        <v/>
      </c>
      <c r="H442" s="66" t="str">
        <f>IFERROR(INDEX(_Datos!H:H,MATCH(435,_Datos!$I:$I,0)),"")</f>
        <v/>
      </c>
    </row>
    <row r="443" spans="1:8" x14ac:dyDescent="0.2">
      <c r="A443" s="67" t="str">
        <f>IFERROR(INDEX(_Datos!A:A,MATCH(436,_Datos!$I:$I,0)),"")</f>
        <v/>
      </c>
      <c r="B443" s="67" t="str">
        <f>IFERROR(INDEX(_Datos!B:B,MATCH(436,_Datos!$I:$I,0)),"")</f>
        <v/>
      </c>
      <c r="C443" s="67" t="str">
        <f>IFERROR(INDEX(_Datos!C:C,MATCH(436,_Datos!$I:$I,0)),"")</f>
        <v/>
      </c>
      <c r="D443" s="68" t="str">
        <f>IFERROR(INDEX(_Datos!D:D,MATCH(436,_Datos!$I:$I,0)),"")</f>
        <v/>
      </c>
      <c r="E443" s="69" t="str">
        <f>IFERROR(INDEX(_Datos!E:E,MATCH(436,_Datos!$I:$I,0)),"")</f>
        <v/>
      </c>
      <c r="F443" s="67" t="str">
        <f>IFERROR(INDEX(_Datos!F:F,MATCH(436,_Datos!$I:$I,0)),"")</f>
        <v/>
      </c>
      <c r="G443" s="67" t="str">
        <f>IFERROR(INDEX(_Datos!G:G,MATCH(436,_Datos!$I:$I,0)),"")</f>
        <v/>
      </c>
      <c r="H443" s="70" t="str">
        <f>IFERROR(INDEX(_Datos!H:H,MATCH(436,_Datos!$I:$I,0)),"")</f>
        <v/>
      </c>
    </row>
    <row r="444" spans="1:8" x14ac:dyDescent="0.2">
      <c r="A444" s="63" t="str">
        <f>IFERROR(INDEX(_Datos!A:A,MATCH(437,_Datos!$I:$I,0)),"")</f>
        <v/>
      </c>
      <c r="B444" s="63" t="str">
        <f>IFERROR(INDEX(_Datos!B:B,MATCH(437,_Datos!$I:$I,0)),"")</f>
        <v/>
      </c>
      <c r="C444" s="63" t="str">
        <f>IFERROR(INDEX(_Datos!C:C,MATCH(437,_Datos!$I:$I,0)),"")</f>
        <v/>
      </c>
      <c r="D444" s="64" t="str">
        <f>IFERROR(INDEX(_Datos!D:D,MATCH(437,_Datos!$I:$I,0)),"")</f>
        <v/>
      </c>
      <c r="E444" s="65" t="str">
        <f>IFERROR(INDEX(_Datos!E:E,MATCH(437,_Datos!$I:$I,0)),"")</f>
        <v/>
      </c>
      <c r="F444" s="63" t="str">
        <f>IFERROR(INDEX(_Datos!F:F,MATCH(437,_Datos!$I:$I,0)),"")</f>
        <v/>
      </c>
      <c r="G444" s="63" t="str">
        <f>IFERROR(INDEX(_Datos!G:G,MATCH(437,_Datos!$I:$I,0)),"")</f>
        <v/>
      </c>
      <c r="H444" s="66" t="str">
        <f>IFERROR(INDEX(_Datos!H:H,MATCH(437,_Datos!$I:$I,0)),"")</f>
        <v/>
      </c>
    </row>
    <row r="445" spans="1:8" x14ac:dyDescent="0.2">
      <c r="A445" s="67" t="str">
        <f>IFERROR(INDEX(_Datos!A:A,MATCH(438,_Datos!$I:$I,0)),"")</f>
        <v/>
      </c>
      <c r="B445" s="67" t="str">
        <f>IFERROR(INDEX(_Datos!B:B,MATCH(438,_Datos!$I:$I,0)),"")</f>
        <v/>
      </c>
      <c r="C445" s="67" t="str">
        <f>IFERROR(INDEX(_Datos!C:C,MATCH(438,_Datos!$I:$I,0)),"")</f>
        <v/>
      </c>
      <c r="D445" s="68" t="str">
        <f>IFERROR(INDEX(_Datos!D:D,MATCH(438,_Datos!$I:$I,0)),"")</f>
        <v/>
      </c>
      <c r="E445" s="69" t="str">
        <f>IFERROR(INDEX(_Datos!E:E,MATCH(438,_Datos!$I:$I,0)),"")</f>
        <v/>
      </c>
      <c r="F445" s="67" t="str">
        <f>IFERROR(INDEX(_Datos!F:F,MATCH(438,_Datos!$I:$I,0)),"")</f>
        <v/>
      </c>
      <c r="G445" s="67" t="str">
        <f>IFERROR(INDEX(_Datos!G:G,MATCH(438,_Datos!$I:$I,0)),"")</f>
        <v/>
      </c>
      <c r="H445" s="70" t="str">
        <f>IFERROR(INDEX(_Datos!H:H,MATCH(438,_Datos!$I:$I,0)),"")</f>
        <v/>
      </c>
    </row>
    <row r="446" spans="1:8" x14ac:dyDescent="0.2">
      <c r="A446" s="63" t="str">
        <f>IFERROR(INDEX(_Datos!A:A,MATCH(439,_Datos!$I:$I,0)),"")</f>
        <v/>
      </c>
      <c r="B446" s="63" t="str">
        <f>IFERROR(INDEX(_Datos!B:B,MATCH(439,_Datos!$I:$I,0)),"")</f>
        <v/>
      </c>
      <c r="C446" s="63" t="str">
        <f>IFERROR(INDEX(_Datos!C:C,MATCH(439,_Datos!$I:$I,0)),"")</f>
        <v/>
      </c>
      <c r="D446" s="64" t="str">
        <f>IFERROR(INDEX(_Datos!D:D,MATCH(439,_Datos!$I:$I,0)),"")</f>
        <v/>
      </c>
      <c r="E446" s="65" t="str">
        <f>IFERROR(INDEX(_Datos!E:E,MATCH(439,_Datos!$I:$I,0)),"")</f>
        <v/>
      </c>
      <c r="F446" s="63" t="str">
        <f>IFERROR(INDEX(_Datos!F:F,MATCH(439,_Datos!$I:$I,0)),"")</f>
        <v/>
      </c>
      <c r="G446" s="63" t="str">
        <f>IFERROR(INDEX(_Datos!G:G,MATCH(439,_Datos!$I:$I,0)),"")</f>
        <v/>
      </c>
      <c r="H446" s="66" t="str">
        <f>IFERROR(INDEX(_Datos!H:H,MATCH(439,_Datos!$I:$I,0)),"")</f>
        <v/>
      </c>
    </row>
    <row r="447" spans="1:8" x14ac:dyDescent="0.2">
      <c r="A447" s="67" t="str">
        <f>IFERROR(INDEX(_Datos!A:A,MATCH(440,_Datos!$I:$I,0)),"")</f>
        <v/>
      </c>
      <c r="B447" s="67" t="str">
        <f>IFERROR(INDEX(_Datos!B:B,MATCH(440,_Datos!$I:$I,0)),"")</f>
        <v/>
      </c>
      <c r="C447" s="67" t="str">
        <f>IFERROR(INDEX(_Datos!C:C,MATCH(440,_Datos!$I:$I,0)),"")</f>
        <v/>
      </c>
      <c r="D447" s="68" t="str">
        <f>IFERROR(INDEX(_Datos!D:D,MATCH(440,_Datos!$I:$I,0)),"")</f>
        <v/>
      </c>
      <c r="E447" s="69" t="str">
        <f>IFERROR(INDEX(_Datos!E:E,MATCH(440,_Datos!$I:$I,0)),"")</f>
        <v/>
      </c>
      <c r="F447" s="67" t="str">
        <f>IFERROR(INDEX(_Datos!F:F,MATCH(440,_Datos!$I:$I,0)),"")</f>
        <v/>
      </c>
      <c r="G447" s="67" t="str">
        <f>IFERROR(INDEX(_Datos!G:G,MATCH(440,_Datos!$I:$I,0)),"")</f>
        <v/>
      </c>
      <c r="H447" s="70" t="str">
        <f>IFERROR(INDEX(_Datos!H:H,MATCH(440,_Datos!$I:$I,0)),"")</f>
        <v/>
      </c>
    </row>
    <row r="448" spans="1:8" x14ac:dyDescent="0.2">
      <c r="A448" s="63" t="str">
        <f>IFERROR(INDEX(_Datos!A:A,MATCH(441,_Datos!$I:$I,0)),"")</f>
        <v/>
      </c>
      <c r="B448" s="63" t="str">
        <f>IFERROR(INDEX(_Datos!B:B,MATCH(441,_Datos!$I:$I,0)),"")</f>
        <v/>
      </c>
      <c r="C448" s="63" t="str">
        <f>IFERROR(INDEX(_Datos!C:C,MATCH(441,_Datos!$I:$I,0)),"")</f>
        <v/>
      </c>
      <c r="D448" s="64" t="str">
        <f>IFERROR(INDEX(_Datos!D:D,MATCH(441,_Datos!$I:$I,0)),"")</f>
        <v/>
      </c>
      <c r="E448" s="65" t="str">
        <f>IFERROR(INDEX(_Datos!E:E,MATCH(441,_Datos!$I:$I,0)),"")</f>
        <v/>
      </c>
      <c r="F448" s="63" t="str">
        <f>IFERROR(INDEX(_Datos!F:F,MATCH(441,_Datos!$I:$I,0)),"")</f>
        <v/>
      </c>
      <c r="G448" s="63" t="str">
        <f>IFERROR(INDEX(_Datos!G:G,MATCH(441,_Datos!$I:$I,0)),"")</f>
        <v/>
      </c>
      <c r="H448" s="66" t="str">
        <f>IFERROR(INDEX(_Datos!H:H,MATCH(441,_Datos!$I:$I,0)),"")</f>
        <v/>
      </c>
    </row>
    <row r="449" spans="1:8" x14ac:dyDescent="0.2">
      <c r="A449" s="67" t="str">
        <f>IFERROR(INDEX(_Datos!A:A,MATCH(442,_Datos!$I:$I,0)),"")</f>
        <v/>
      </c>
      <c r="B449" s="67" t="str">
        <f>IFERROR(INDEX(_Datos!B:B,MATCH(442,_Datos!$I:$I,0)),"")</f>
        <v/>
      </c>
      <c r="C449" s="67" t="str">
        <f>IFERROR(INDEX(_Datos!C:C,MATCH(442,_Datos!$I:$I,0)),"")</f>
        <v/>
      </c>
      <c r="D449" s="68" t="str">
        <f>IFERROR(INDEX(_Datos!D:D,MATCH(442,_Datos!$I:$I,0)),"")</f>
        <v/>
      </c>
      <c r="E449" s="69" t="str">
        <f>IFERROR(INDEX(_Datos!E:E,MATCH(442,_Datos!$I:$I,0)),"")</f>
        <v/>
      </c>
      <c r="F449" s="67" t="str">
        <f>IFERROR(INDEX(_Datos!F:F,MATCH(442,_Datos!$I:$I,0)),"")</f>
        <v/>
      </c>
      <c r="G449" s="67" t="str">
        <f>IFERROR(INDEX(_Datos!G:G,MATCH(442,_Datos!$I:$I,0)),"")</f>
        <v/>
      </c>
      <c r="H449" s="70" t="str">
        <f>IFERROR(INDEX(_Datos!H:H,MATCH(442,_Datos!$I:$I,0)),"")</f>
        <v/>
      </c>
    </row>
    <row r="450" spans="1:8" x14ac:dyDescent="0.2">
      <c r="A450" s="63" t="str">
        <f>IFERROR(INDEX(_Datos!A:A,MATCH(443,_Datos!$I:$I,0)),"")</f>
        <v/>
      </c>
      <c r="B450" s="63" t="str">
        <f>IFERROR(INDEX(_Datos!B:B,MATCH(443,_Datos!$I:$I,0)),"")</f>
        <v/>
      </c>
      <c r="C450" s="63" t="str">
        <f>IFERROR(INDEX(_Datos!C:C,MATCH(443,_Datos!$I:$I,0)),"")</f>
        <v/>
      </c>
      <c r="D450" s="64" t="str">
        <f>IFERROR(INDEX(_Datos!D:D,MATCH(443,_Datos!$I:$I,0)),"")</f>
        <v/>
      </c>
      <c r="E450" s="65" t="str">
        <f>IFERROR(INDEX(_Datos!E:E,MATCH(443,_Datos!$I:$I,0)),"")</f>
        <v/>
      </c>
      <c r="F450" s="63" t="str">
        <f>IFERROR(INDEX(_Datos!F:F,MATCH(443,_Datos!$I:$I,0)),"")</f>
        <v/>
      </c>
      <c r="G450" s="63" t="str">
        <f>IFERROR(INDEX(_Datos!G:G,MATCH(443,_Datos!$I:$I,0)),"")</f>
        <v/>
      </c>
      <c r="H450" s="66" t="str">
        <f>IFERROR(INDEX(_Datos!H:H,MATCH(443,_Datos!$I:$I,0)),"")</f>
        <v/>
      </c>
    </row>
    <row r="451" spans="1:8" x14ac:dyDescent="0.2">
      <c r="A451" s="67" t="str">
        <f>IFERROR(INDEX(_Datos!A:A,MATCH(444,_Datos!$I:$I,0)),"")</f>
        <v/>
      </c>
      <c r="B451" s="67" t="str">
        <f>IFERROR(INDEX(_Datos!B:B,MATCH(444,_Datos!$I:$I,0)),"")</f>
        <v/>
      </c>
      <c r="C451" s="67" t="str">
        <f>IFERROR(INDEX(_Datos!C:C,MATCH(444,_Datos!$I:$I,0)),"")</f>
        <v/>
      </c>
      <c r="D451" s="68" t="str">
        <f>IFERROR(INDEX(_Datos!D:D,MATCH(444,_Datos!$I:$I,0)),"")</f>
        <v/>
      </c>
      <c r="E451" s="69" t="str">
        <f>IFERROR(INDEX(_Datos!E:E,MATCH(444,_Datos!$I:$I,0)),"")</f>
        <v/>
      </c>
      <c r="F451" s="67" t="str">
        <f>IFERROR(INDEX(_Datos!F:F,MATCH(444,_Datos!$I:$I,0)),"")</f>
        <v/>
      </c>
      <c r="G451" s="67" t="str">
        <f>IFERROR(INDEX(_Datos!G:G,MATCH(444,_Datos!$I:$I,0)),"")</f>
        <v/>
      </c>
      <c r="H451" s="70" t="str">
        <f>IFERROR(INDEX(_Datos!H:H,MATCH(444,_Datos!$I:$I,0)),"")</f>
        <v/>
      </c>
    </row>
    <row r="452" spans="1:8" x14ac:dyDescent="0.2">
      <c r="A452" s="63" t="str">
        <f>IFERROR(INDEX(_Datos!A:A,MATCH(445,_Datos!$I:$I,0)),"")</f>
        <v/>
      </c>
      <c r="B452" s="63" t="str">
        <f>IFERROR(INDEX(_Datos!B:B,MATCH(445,_Datos!$I:$I,0)),"")</f>
        <v/>
      </c>
      <c r="C452" s="63" t="str">
        <f>IFERROR(INDEX(_Datos!C:C,MATCH(445,_Datos!$I:$I,0)),"")</f>
        <v/>
      </c>
      <c r="D452" s="64" t="str">
        <f>IFERROR(INDEX(_Datos!D:D,MATCH(445,_Datos!$I:$I,0)),"")</f>
        <v/>
      </c>
      <c r="E452" s="65" t="str">
        <f>IFERROR(INDEX(_Datos!E:E,MATCH(445,_Datos!$I:$I,0)),"")</f>
        <v/>
      </c>
      <c r="F452" s="63" t="str">
        <f>IFERROR(INDEX(_Datos!F:F,MATCH(445,_Datos!$I:$I,0)),"")</f>
        <v/>
      </c>
      <c r="G452" s="63" t="str">
        <f>IFERROR(INDEX(_Datos!G:G,MATCH(445,_Datos!$I:$I,0)),"")</f>
        <v/>
      </c>
      <c r="H452" s="66" t="str">
        <f>IFERROR(INDEX(_Datos!H:H,MATCH(445,_Datos!$I:$I,0)),"")</f>
        <v/>
      </c>
    </row>
    <row r="453" spans="1:8" x14ac:dyDescent="0.2">
      <c r="A453" s="67" t="str">
        <f>IFERROR(INDEX(_Datos!A:A,MATCH(446,_Datos!$I:$I,0)),"")</f>
        <v/>
      </c>
      <c r="B453" s="67" t="str">
        <f>IFERROR(INDEX(_Datos!B:B,MATCH(446,_Datos!$I:$I,0)),"")</f>
        <v/>
      </c>
      <c r="C453" s="67" t="str">
        <f>IFERROR(INDEX(_Datos!C:C,MATCH(446,_Datos!$I:$I,0)),"")</f>
        <v/>
      </c>
      <c r="D453" s="68" t="str">
        <f>IFERROR(INDEX(_Datos!D:D,MATCH(446,_Datos!$I:$I,0)),"")</f>
        <v/>
      </c>
      <c r="E453" s="69" t="str">
        <f>IFERROR(INDEX(_Datos!E:E,MATCH(446,_Datos!$I:$I,0)),"")</f>
        <v/>
      </c>
      <c r="F453" s="67" t="str">
        <f>IFERROR(INDEX(_Datos!F:F,MATCH(446,_Datos!$I:$I,0)),"")</f>
        <v/>
      </c>
      <c r="G453" s="67" t="str">
        <f>IFERROR(INDEX(_Datos!G:G,MATCH(446,_Datos!$I:$I,0)),"")</f>
        <v/>
      </c>
      <c r="H453" s="70" t="str">
        <f>IFERROR(INDEX(_Datos!H:H,MATCH(446,_Datos!$I:$I,0)),"")</f>
        <v/>
      </c>
    </row>
    <row r="454" spans="1:8" x14ac:dyDescent="0.2">
      <c r="A454" s="63" t="str">
        <f>IFERROR(INDEX(_Datos!A:A,MATCH(447,_Datos!$I:$I,0)),"")</f>
        <v/>
      </c>
      <c r="B454" s="63" t="str">
        <f>IFERROR(INDEX(_Datos!B:B,MATCH(447,_Datos!$I:$I,0)),"")</f>
        <v/>
      </c>
      <c r="C454" s="63" t="str">
        <f>IFERROR(INDEX(_Datos!C:C,MATCH(447,_Datos!$I:$I,0)),"")</f>
        <v/>
      </c>
      <c r="D454" s="64" t="str">
        <f>IFERROR(INDEX(_Datos!D:D,MATCH(447,_Datos!$I:$I,0)),"")</f>
        <v/>
      </c>
      <c r="E454" s="65" t="str">
        <f>IFERROR(INDEX(_Datos!E:E,MATCH(447,_Datos!$I:$I,0)),"")</f>
        <v/>
      </c>
      <c r="F454" s="63" t="str">
        <f>IFERROR(INDEX(_Datos!F:F,MATCH(447,_Datos!$I:$I,0)),"")</f>
        <v/>
      </c>
      <c r="G454" s="63" t="str">
        <f>IFERROR(INDEX(_Datos!G:G,MATCH(447,_Datos!$I:$I,0)),"")</f>
        <v/>
      </c>
      <c r="H454" s="66" t="str">
        <f>IFERROR(INDEX(_Datos!H:H,MATCH(447,_Datos!$I:$I,0)),"")</f>
        <v/>
      </c>
    </row>
    <row r="455" spans="1:8" x14ac:dyDescent="0.2">
      <c r="A455" s="67" t="str">
        <f>IFERROR(INDEX(_Datos!A:A,MATCH(448,_Datos!$I:$I,0)),"")</f>
        <v/>
      </c>
      <c r="B455" s="67" t="str">
        <f>IFERROR(INDEX(_Datos!B:B,MATCH(448,_Datos!$I:$I,0)),"")</f>
        <v/>
      </c>
      <c r="C455" s="67" t="str">
        <f>IFERROR(INDEX(_Datos!C:C,MATCH(448,_Datos!$I:$I,0)),"")</f>
        <v/>
      </c>
      <c r="D455" s="68" t="str">
        <f>IFERROR(INDEX(_Datos!D:D,MATCH(448,_Datos!$I:$I,0)),"")</f>
        <v/>
      </c>
      <c r="E455" s="69" t="str">
        <f>IFERROR(INDEX(_Datos!E:E,MATCH(448,_Datos!$I:$I,0)),"")</f>
        <v/>
      </c>
      <c r="F455" s="67" t="str">
        <f>IFERROR(INDEX(_Datos!F:F,MATCH(448,_Datos!$I:$I,0)),"")</f>
        <v/>
      </c>
      <c r="G455" s="67" t="str">
        <f>IFERROR(INDEX(_Datos!G:G,MATCH(448,_Datos!$I:$I,0)),"")</f>
        <v/>
      </c>
      <c r="H455" s="70" t="str">
        <f>IFERROR(INDEX(_Datos!H:H,MATCH(448,_Datos!$I:$I,0)),"")</f>
        <v/>
      </c>
    </row>
    <row r="456" spans="1:8" x14ac:dyDescent="0.2">
      <c r="A456" s="63" t="str">
        <f>IFERROR(INDEX(_Datos!A:A,MATCH(449,_Datos!$I:$I,0)),"")</f>
        <v/>
      </c>
      <c r="B456" s="63" t="str">
        <f>IFERROR(INDEX(_Datos!B:B,MATCH(449,_Datos!$I:$I,0)),"")</f>
        <v/>
      </c>
      <c r="C456" s="63" t="str">
        <f>IFERROR(INDEX(_Datos!C:C,MATCH(449,_Datos!$I:$I,0)),"")</f>
        <v/>
      </c>
      <c r="D456" s="64" t="str">
        <f>IFERROR(INDEX(_Datos!D:D,MATCH(449,_Datos!$I:$I,0)),"")</f>
        <v/>
      </c>
      <c r="E456" s="65" t="str">
        <f>IFERROR(INDEX(_Datos!E:E,MATCH(449,_Datos!$I:$I,0)),"")</f>
        <v/>
      </c>
      <c r="F456" s="63" t="str">
        <f>IFERROR(INDEX(_Datos!F:F,MATCH(449,_Datos!$I:$I,0)),"")</f>
        <v/>
      </c>
      <c r="G456" s="63" t="str">
        <f>IFERROR(INDEX(_Datos!G:G,MATCH(449,_Datos!$I:$I,0)),"")</f>
        <v/>
      </c>
      <c r="H456" s="66" t="str">
        <f>IFERROR(INDEX(_Datos!H:H,MATCH(449,_Datos!$I:$I,0)),"")</f>
        <v/>
      </c>
    </row>
    <row r="457" spans="1:8" x14ac:dyDescent="0.2">
      <c r="A457" s="67" t="str">
        <f>IFERROR(INDEX(_Datos!A:A,MATCH(450,_Datos!$I:$I,0)),"")</f>
        <v/>
      </c>
      <c r="B457" s="67" t="str">
        <f>IFERROR(INDEX(_Datos!B:B,MATCH(450,_Datos!$I:$I,0)),"")</f>
        <v/>
      </c>
      <c r="C457" s="67" t="str">
        <f>IFERROR(INDEX(_Datos!C:C,MATCH(450,_Datos!$I:$I,0)),"")</f>
        <v/>
      </c>
      <c r="D457" s="68" t="str">
        <f>IFERROR(INDEX(_Datos!D:D,MATCH(450,_Datos!$I:$I,0)),"")</f>
        <v/>
      </c>
      <c r="E457" s="69" t="str">
        <f>IFERROR(INDEX(_Datos!E:E,MATCH(450,_Datos!$I:$I,0)),"")</f>
        <v/>
      </c>
      <c r="F457" s="67" t="str">
        <f>IFERROR(INDEX(_Datos!F:F,MATCH(450,_Datos!$I:$I,0)),"")</f>
        <v/>
      </c>
      <c r="G457" s="67" t="str">
        <f>IFERROR(INDEX(_Datos!G:G,MATCH(450,_Datos!$I:$I,0)),"")</f>
        <v/>
      </c>
      <c r="H457" s="70" t="str">
        <f>IFERROR(INDEX(_Datos!H:H,MATCH(450,_Datos!$I:$I,0)),"")</f>
        <v/>
      </c>
    </row>
    <row r="458" spans="1:8" x14ac:dyDescent="0.2">
      <c r="A458" s="63" t="str">
        <f>IFERROR(INDEX(_Datos!A:A,MATCH(451,_Datos!$I:$I,0)),"")</f>
        <v/>
      </c>
      <c r="B458" s="63" t="str">
        <f>IFERROR(INDEX(_Datos!B:B,MATCH(451,_Datos!$I:$I,0)),"")</f>
        <v/>
      </c>
      <c r="C458" s="63" t="str">
        <f>IFERROR(INDEX(_Datos!C:C,MATCH(451,_Datos!$I:$I,0)),"")</f>
        <v/>
      </c>
      <c r="D458" s="64" t="str">
        <f>IFERROR(INDEX(_Datos!D:D,MATCH(451,_Datos!$I:$I,0)),"")</f>
        <v/>
      </c>
      <c r="E458" s="65" t="str">
        <f>IFERROR(INDEX(_Datos!E:E,MATCH(451,_Datos!$I:$I,0)),"")</f>
        <v/>
      </c>
      <c r="F458" s="63" t="str">
        <f>IFERROR(INDEX(_Datos!F:F,MATCH(451,_Datos!$I:$I,0)),"")</f>
        <v/>
      </c>
      <c r="G458" s="63" t="str">
        <f>IFERROR(INDEX(_Datos!G:G,MATCH(451,_Datos!$I:$I,0)),"")</f>
        <v/>
      </c>
      <c r="H458" s="66" t="str">
        <f>IFERROR(INDEX(_Datos!H:H,MATCH(451,_Datos!$I:$I,0)),"")</f>
        <v/>
      </c>
    </row>
    <row r="459" spans="1:8" x14ac:dyDescent="0.2">
      <c r="A459" s="67" t="str">
        <f>IFERROR(INDEX(_Datos!A:A,MATCH(452,_Datos!$I:$I,0)),"")</f>
        <v/>
      </c>
      <c r="B459" s="67" t="str">
        <f>IFERROR(INDEX(_Datos!B:B,MATCH(452,_Datos!$I:$I,0)),"")</f>
        <v/>
      </c>
      <c r="C459" s="67" t="str">
        <f>IFERROR(INDEX(_Datos!C:C,MATCH(452,_Datos!$I:$I,0)),"")</f>
        <v/>
      </c>
      <c r="D459" s="68" t="str">
        <f>IFERROR(INDEX(_Datos!D:D,MATCH(452,_Datos!$I:$I,0)),"")</f>
        <v/>
      </c>
      <c r="E459" s="69" t="str">
        <f>IFERROR(INDEX(_Datos!E:E,MATCH(452,_Datos!$I:$I,0)),"")</f>
        <v/>
      </c>
      <c r="F459" s="67" t="str">
        <f>IFERROR(INDEX(_Datos!F:F,MATCH(452,_Datos!$I:$I,0)),"")</f>
        <v/>
      </c>
      <c r="G459" s="67" t="str">
        <f>IFERROR(INDEX(_Datos!G:G,MATCH(452,_Datos!$I:$I,0)),"")</f>
        <v/>
      </c>
      <c r="H459" s="70" t="str">
        <f>IFERROR(INDEX(_Datos!H:H,MATCH(452,_Datos!$I:$I,0)),"")</f>
        <v/>
      </c>
    </row>
    <row r="460" spans="1:8" x14ac:dyDescent="0.2">
      <c r="A460" s="63" t="str">
        <f>IFERROR(INDEX(_Datos!A:A,MATCH(453,_Datos!$I:$I,0)),"")</f>
        <v/>
      </c>
      <c r="B460" s="63" t="str">
        <f>IFERROR(INDEX(_Datos!B:B,MATCH(453,_Datos!$I:$I,0)),"")</f>
        <v/>
      </c>
      <c r="C460" s="63" t="str">
        <f>IFERROR(INDEX(_Datos!C:C,MATCH(453,_Datos!$I:$I,0)),"")</f>
        <v/>
      </c>
      <c r="D460" s="64" t="str">
        <f>IFERROR(INDEX(_Datos!D:D,MATCH(453,_Datos!$I:$I,0)),"")</f>
        <v/>
      </c>
      <c r="E460" s="65" t="str">
        <f>IFERROR(INDEX(_Datos!E:E,MATCH(453,_Datos!$I:$I,0)),"")</f>
        <v/>
      </c>
      <c r="F460" s="63" t="str">
        <f>IFERROR(INDEX(_Datos!F:F,MATCH(453,_Datos!$I:$I,0)),"")</f>
        <v/>
      </c>
      <c r="G460" s="63" t="str">
        <f>IFERROR(INDEX(_Datos!G:G,MATCH(453,_Datos!$I:$I,0)),"")</f>
        <v/>
      </c>
      <c r="H460" s="66" t="str">
        <f>IFERROR(INDEX(_Datos!H:H,MATCH(453,_Datos!$I:$I,0)),"")</f>
        <v/>
      </c>
    </row>
    <row r="461" spans="1:8" x14ac:dyDescent="0.2">
      <c r="A461" s="67" t="str">
        <f>IFERROR(INDEX(_Datos!A:A,MATCH(454,_Datos!$I:$I,0)),"")</f>
        <v/>
      </c>
      <c r="B461" s="67" t="str">
        <f>IFERROR(INDEX(_Datos!B:B,MATCH(454,_Datos!$I:$I,0)),"")</f>
        <v/>
      </c>
      <c r="C461" s="67" t="str">
        <f>IFERROR(INDEX(_Datos!C:C,MATCH(454,_Datos!$I:$I,0)),"")</f>
        <v/>
      </c>
      <c r="D461" s="68" t="str">
        <f>IFERROR(INDEX(_Datos!D:D,MATCH(454,_Datos!$I:$I,0)),"")</f>
        <v/>
      </c>
      <c r="E461" s="69" t="str">
        <f>IFERROR(INDEX(_Datos!E:E,MATCH(454,_Datos!$I:$I,0)),"")</f>
        <v/>
      </c>
      <c r="F461" s="67" t="str">
        <f>IFERROR(INDEX(_Datos!F:F,MATCH(454,_Datos!$I:$I,0)),"")</f>
        <v/>
      </c>
      <c r="G461" s="67" t="str">
        <f>IFERROR(INDEX(_Datos!G:G,MATCH(454,_Datos!$I:$I,0)),"")</f>
        <v/>
      </c>
      <c r="H461" s="70" t="str">
        <f>IFERROR(INDEX(_Datos!H:H,MATCH(454,_Datos!$I:$I,0)),"")</f>
        <v/>
      </c>
    </row>
    <row r="462" spans="1:8" x14ac:dyDescent="0.2">
      <c r="A462" s="63" t="str">
        <f>IFERROR(INDEX(_Datos!A:A,MATCH(455,_Datos!$I:$I,0)),"")</f>
        <v/>
      </c>
      <c r="B462" s="63" t="str">
        <f>IFERROR(INDEX(_Datos!B:B,MATCH(455,_Datos!$I:$I,0)),"")</f>
        <v/>
      </c>
      <c r="C462" s="63" t="str">
        <f>IFERROR(INDEX(_Datos!C:C,MATCH(455,_Datos!$I:$I,0)),"")</f>
        <v/>
      </c>
      <c r="D462" s="64" t="str">
        <f>IFERROR(INDEX(_Datos!D:D,MATCH(455,_Datos!$I:$I,0)),"")</f>
        <v/>
      </c>
      <c r="E462" s="65" t="str">
        <f>IFERROR(INDEX(_Datos!E:E,MATCH(455,_Datos!$I:$I,0)),"")</f>
        <v/>
      </c>
      <c r="F462" s="63" t="str">
        <f>IFERROR(INDEX(_Datos!F:F,MATCH(455,_Datos!$I:$I,0)),"")</f>
        <v/>
      </c>
      <c r="G462" s="63" t="str">
        <f>IFERROR(INDEX(_Datos!G:G,MATCH(455,_Datos!$I:$I,0)),"")</f>
        <v/>
      </c>
      <c r="H462" s="66" t="str">
        <f>IFERROR(INDEX(_Datos!H:H,MATCH(455,_Datos!$I:$I,0)),"")</f>
        <v/>
      </c>
    </row>
    <row r="463" spans="1:8" x14ac:dyDescent="0.2">
      <c r="A463" s="67" t="str">
        <f>IFERROR(INDEX(_Datos!A:A,MATCH(456,_Datos!$I:$I,0)),"")</f>
        <v/>
      </c>
      <c r="B463" s="67" t="str">
        <f>IFERROR(INDEX(_Datos!B:B,MATCH(456,_Datos!$I:$I,0)),"")</f>
        <v/>
      </c>
      <c r="C463" s="67" t="str">
        <f>IFERROR(INDEX(_Datos!C:C,MATCH(456,_Datos!$I:$I,0)),"")</f>
        <v/>
      </c>
      <c r="D463" s="68" t="str">
        <f>IFERROR(INDEX(_Datos!D:D,MATCH(456,_Datos!$I:$I,0)),"")</f>
        <v/>
      </c>
      <c r="E463" s="69" t="str">
        <f>IFERROR(INDEX(_Datos!E:E,MATCH(456,_Datos!$I:$I,0)),"")</f>
        <v/>
      </c>
      <c r="F463" s="67" t="str">
        <f>IFERROR(INDEX(_Datos!F:F,MATCH(456,_Datos!$I:$I,0)),"")</f>
        <v/>
      </c>
      <c r="G463" s="67" t="str">
        <f>IFERROR(INDEX(_Datos!G:G,MATCH(456,_Datos!$I:$I,0)),"")</f>
        <v/>
      </c>
      <c r="H463" s="70" t="str">
        <f>IFERROR(INDEX(_Datos!H:H,MATCH(456,_Datos!$I:$I,0)),"")</f>
        <v/>
      </c>
    </row>
    <row r="464" spans="1:8" x14ac:dyDescent="0.2">
      <c r="A464" s="63" t="str">
        <f>IFERROR(INDEX(_Datos!A:A,MATCH(457,_Datos!$I:$I,0)),"")</f>
        <v/>
      </c>
      <c r="B464" s="63" t="str">
        <f>IFERROR(INDEX(_Datos!B:B,MATCH(457,_Datos!$I:$I,0)),"")</f>
        <v/>
      </c>
      <c r="C464" s="63" t="str">
        <f>IFERROR(INDEX(_Datos!C:C,MATCH(457,_Datos!$I:$I,0)),"")</f>
        <v/>
      </c>
      <c r="D464" s="64" t="str">
        <f>IFERROR(INDEX(_Datos!D:D,MATCH(457,_Datos!$I:$I,0)),"")</f>
        <v/>
      </c>
      <c r="E464" s="65" t="str">
        <f>IFERROR(INDEX(_Datos!E:E,MATCH(457,_Datos!$I:$I,0)),"")</f>
        <v/>
      </c>
      <c r="F464" s="63" t="str">
        <f>IFERROR(INDEX(_Datos!F:F,MATCH(457,_Datos!$I:$I,0)),"")</f>
        <v/>
      </c>
      <c r="G464" s="63" t="str">
        <f>IFERROR(INDEX(_Datos!G:G,MATCH(457,_Datos!$I:$I,0)),"")</f>
        <v/>
      </c>
      <c r="H464" s="66" t="str">
        <f>IFERROR(INDEX(_Datos!H:H,MATCH(457,_Datos!$I:$I,0)),"")</f>
        <v/>
      </c>
    </row>
    <row r="465" spans="1:8" x14ac:dyDescent="0.2">
      <c r="A465" s="67" t="str">
        <f>IFERROR(INDEX(_Datos!A:A,MATCH(458,_Datos!$I:$I,0)),"")</f>
        <v/>
      </c>
      <c r="B465" s="67" t="str">
        <f>IFERROR(INDEX(_Datos!B:B,MATCH(458,_Datos!$I:$I,0)),"")</f>
        <v/>
      </c>
      <c r="C465" s="67" t="str">
        <f>IFERROR(INDEX(_Datos!C:C,MATCH(458,_Datos!$I:$I,0)),"")</f>
        <v/>
      </c>
      <c r="D465" s="68" t="str">
        <f>IFERROR(INDEX(_Datos!D:D,MATCH(458,_Datos!$I:$I,0)),"")</f>
        <v/>
      </c>
      <c r="E465" s="69" t="str">
        <f>IFERROR(INDEX(_Datos!E:E,MATCH(458,_Datos!$I:$I,0)),"")</f>
        <v/>
      </c>
      <c r="F465" s="67" t="str">
        <f>IFERROR(INDEX(_Datos!F:F,MATCH(458,_Datos!$I:$I,0)),"")</f>
        <v/>
      </c>
      <c r="G465" s="67" t="str">
        <f>IFERROR(INDEX(_Datos!G:G,MATCH(458,_Datos!$I:$I,0)),"")</f>
        <v/>
      </c>
      <c r="H465" s="70" t="str">
        <f>IFERROR(INDEX(_Datos!H:H,MATCH(458,_Datos!$I:$I,0)),"")</f>
        <v/>
      </c>
    </row>
    <row r="466" spans="1:8" x14ac:dyDescent="0.2">
      <c r="A466" s="63" t="str">
        <f>IFERROR(INDEX(_Datos!A:A,MATCH(459,_Datos!$I:$I,0)),"")</f>
        <v/>
      </c>
      <c r="B466" s="63" t="str">
        <f>IFERROR(INDEX(_Datos!B:B,MATCH(459,_Datos!$I:$I,0)),"")</f>
        <v/>
      </c>
      <c r="C466" s="63" t="str">
        <f>IFERROR(INDEX(_Datos!C:C,MATCH(459,_Datos!$I:$I,0)),"")</f>
        <v/>
      </c>
      <c r="D466" s="64" t="str">
        <f>IFERROR(INDEX(_Datos!D:D,MATCH(459,_Datos!$I:$I,0)),"")</f>
        <v/>
      </c>
      <c r="E466" s="65" t="str">
        <f>IFERROR(INDEX(_Datos!E:E,MATCH(459,_Datos!$I:$I,0)),"")</f>
        <v/>
      </c>
      <c r="F466" s="63" t="str">
        <f>IFERROR(INDEX(_Datos!F:F,MATCH(459,_Datos!$I:$I,0)),"")</f>
        <v/>
      </c>
      <c r="G466" s="63" t="str">
        <f>IFERROR(INDEX(_Datos!G:G,MATCH(459,_Datos!$I:$I,0)),"")</f>
        <v/>
      </c>
      <c r="H466" s="66" t="str">
        <f>IFERROR(INDEX(_Datos!H:H,MATCH(459,_Datos!$I:$I,0)),"")</f>
        <v/>
      </c>
    </row>
    <row r="467" spans="1:8" x14ac:dyDescent="0.2">
      <c r="A467" s="67" t="str">
        <f>IFERROR(INDEX(_Datos!A:A,MATCH(460,_Datos!$I:$I,0)),"")</f>
        <v/>
      </c>
      <c r="B467" s="67" t="str">
        <f>IFERROR(INDEX(_Datos!B:B,MATCH(460,_Datos!$I:$I,0)),"")</f>
        <v/>
      </c>
      <c r="C467" s="67" t="str">
        <f>IFERROR(INDEX(_Datos!C:C,MATCH(460,_Datos!$I:$I,0)),"")</f>
        <v/>
      </c>
      <c r="D467" s="68" t="str">
        <f>IFERROR(INDEX(_Datos!D:D,MATCH(460,_Datos!$I:$I,0)),"")</f>
        <v/>
      </c>
      <c r="E467" s="69" t="str">
        <f>IFERROR(INDEX(_Datos!E:E,MATCH(460,_Datos!$I:$I,0)),"")</f>
        <v/>
      </c>
      <c r="F467" s="67" t="str">
        <f>IFERROR(INDEX(_Datos!F:F,MATCH(460,_Datos!$I:$I,0)),"")</f>
        <v/>
      </c>
      <c r="G467" s="67" t="str">
        <f>IFERROR(INDEX(_Datos!G:G,MATCH(460,_Datos!$I:$I,0)),"")</f>
        <v/>
      </c>
      <c r="H467" s="70" t="str">
        <f>IFERROR(INDEX(_Datos!H:H,MATCH(460,_Datos!$I:$I,0)),"")</f>
        <v/>
      </c>
    </row>
    <row r="468" spans="1:8" x14ac:dyDescent="0.2">
      <c r="A468" s="63" t="str">
        <f>IFERROR(INDEX(_Datos!A:A,MATCH(461,_Datos!$I:$I,0)),"")</f>
        <v/>
      </c>
      <c r="B468" s="63" t="str">
        <f>IFERROR(INDEX(_Datos!B:B,MATCH(461,_Datos!$I:$I,0)),"")</f>
        <v/>
      </c>
      <c r="C468" s="63" t="str">
        <f>IFERROR(INDEX(_Datos!C:C,MATCH(461,_Datos!$I:$I,0)),"")</f>
        <v/>
      </c>
      <c r="D468" s="64" t="str">
        <f>IFERROR(INDEX(_Datos!D:D,MATCH(461,_Datos!$I:$I,0)),"")</f>
        <v/>
      </c>
      <c r="E468" s="65" t="str">
        <f>IFERROR(INDEX(_Datos!E:E,MATCH(461,_Datos!$I:$I,0)),"")</f>
        <v/>
      </c>
      <c r="F468" s="63" t="str">
        <f>IFERROR(INDEX(_Datos!F:F,MATCH(461,_Datos!$I:$I,0)),"")</f>
        <v/>
      </c>
      <c r="G468" s="63" t="str">
        <f>IFERROR(INDEX(_Datos!G:G,MATCH(461,_Datos!$I:$I,0)),"")</f>
        <v/>
      </c>
      <c r="H468" s="66" t="str">
        <f>IFERROR(INDEX(_Datos!H:H,MATCH(461,_Datos!$I:$I,0)),"")</f>
        <v/>
      </c>
    </row>
    <row r="469" spans="1:8" x14ac:dyDescent="0.2">
      <c r="A469" s="67" t="str">
        <f>IFERROR(INDEX(_Datos!A:A,MATCH(462,_Datos!$I:$I,0)),"")</f>
        <v/>
      </c>
      <c r="B469" s="67" t="str">
        <f>IFERROR(INDEX(_Datos!B:B,MATCH(462,_Datos!$I:$I,0)),"")</f>
        <v/>
      </c>
      <c r="C469" s="67" t="str">
        <f>IFERROR(INDEX(_Datos!C:C,MATCH(462,_Datos!$I:$I,0)),"")</f>
        <v/>
      </c>
      <c r="D469" s="68" t="str">
        <f>IFERROR(INDEX(_Datos!D:D,MATCH(462,_Datos!$I:$I,0)),"")</f>
        <v/>
      </c>
      <c r="E469" s="69" t="str">
        <f>IFERROR(INDEX(_Datos!E:E,MATCH(462,_Datos!$I:$I,0)),"")</f>
        <v/>
      </c>
      <c r="F469" s="67" t="str">
        <f>IFERROR(INDEX(_Datos!F:F,MATCH(462,_Datos!$I:$I,0)),"")</f>
        <v/>
      </c>
      <c r="G469" s="67" t="str">
        <f>IFERROR(INDEX(_Datos!G:G,MATCH(462,_Datos!$I:$I,0)),"")</f>
        <v/>
      </c>
      <c r="H469" s="70" t="str">
        <f>IFERROR(INDEX(_Datos!H:H,MATCH(462,_Datos!$I:$I,0)),"")</f>
        <v/>
      </c>
    </row>
    <row r="470" spans="1:8" x14ac:dyDescent="0.2">
      <c r="A470" s="63" t="str">
        <f>IFERROR(INDEX(_Datos!A:A,MATCH(463,_Datos!$I:$I,0)),"")</f>
        <v/>
      </c>
      <c r="B470" s="63" t="str">
        <f>IFERROR(INDEX(_Datos!B:B,MATCH(463,_Datos!$I:$I,0)),"")</f>
        <v/>
      </c>
      <c r="C470" s="63" t="str">
        <f>IFERROR(INDEX(_Datos!C:C,MATCH(463,_Datos!$I:$I,0)),"")</f>
        <v/>
      </c>
      <c r="D470" s="64" t="str">
        <f>IFERROR(INDEX(_Datos!D:D,MATCH(463,_Datos!$I:$I,0)),"")</f>
        <v/>
      </c>
      <c r="E470" s="65" t="str">
        <f>IFERROR(INDEX(_Datos!E:E,MATCH(463,_Datos!$I:$I,0)),"")</f>
        <v/>
      </c>
      <c r="F470" s="63" t="str">
        <f>IFERROR(INDEX(_Datos!F:F,MATCH(463,_Datos!$I:$I,0)),"")</f>
        <v/>
      </c>
      <c r="G470" s="63" t="str">
        <f>IFERROR(INDEX(_Datos!G:G,MATCH(463,_Datos!$I:$I,0)),"")</f>
        <v/>
      </c>
      <c r="H470" s="66" t="str">
        <f>IFERROR(INDEX(_Datos!H:H,MATCH(463,_Datos!$I:$I,0)),"")</f>
        <v/>
      </c>
    </row>
    <row r="471" spans="1:8" x14ac:dyDescent="0.2">
      <c r="A471" s="67" t="str">
        <f>IFERROR(INDEX(_Datos!A:A,MATCH(464,_Datos!$I:$I,0)),"")</f>
        <v/>
      </c>
      <c r="B471" s="67" t="str">
        <f>IFERROR(INDEX(_Datos!B:B,MATCH(464,_Datos!$I:$I,0)),"")</f>
        <v/>
      </c>
      <c r="C471" s="67" t="str">
        <f>IFERROR(INDEX(_Datos!C:C,MATCH(464,_Datos!$I:$I,0)),"")</f>
        <v/>
      </c>
      <c r="D471" s="68" t="str">
        <f>IFERROR(INDEX(_Datos!D:D,MATCH(464,_Datos!$I:$I,0)),"")</f>
        <v/>
      </c>
      <c r="E471" s="69" t="str">
        <f>IFERROR(INDEX(_Datos!E:E,MATCH(464,_Datos!$I:$I,0)),"")</f>
        <v/>
      </c>
      <c r="F471" s="67" t="str">
        <f>IFERROR(INDEX(_Datos!F:F,MATCH(464,_Datos!$I:$I,0)),"")</f>
        <v/>
      </c>
      <c r="G471" s="67" t="str">
        <f>IFERROR(INDEX(_Datos!G:G,MATCH(464,_Datos!$I:$I,0)),"")</f>
        <v/>
      </c>
      <c r="H471" s="70" t="str">
        <f>IFERROR(INDEX(_Datos!H:H,MATCH(464,_Datos!$I:$I,0)),"")</f>
        <v/>
      </c>
    </row>
    <row r="472" spans="1:8" x14ac:dyDescent="0.2">
      <c r="A472" s="63" t="str">
        <f>IFERROR(INDEX(_Datos!A:A,MATCH(465,_Datos!$I:$I,0)),"")</f>
        <v/>
      </c>
      <c r="B472" s="63" t="str">
        <f>IFERROR(INDEX(_Datos!B:B,MATCH(465,_Datos!$I:$I,0)),"")</f>
        <v/>
      </c>
      <c r="C472" s="63" t="str">
        <f>IFERROR(INDEX(_Datos!C:C,MATCH(465,_Datos!$I:$I,0)),"")</f>
        <v/>
      </c>
      <c r="D472" s="64" t="str">
        <f>IFERROR(INDEX(_Datos!D:D,MATCH(465,_Datos!$I:$I,0)),"")</f>
        <v/>
      </c>
      <c r="E472" s="65" t="str">
        <f>IFERROR(INDEX(_Datos!E:E,MATCH(465,_Datos!$I:$I,0)),"")</f>
        <v/>
      </c>
      <c r="F472" s="63" t="str">
        <f>IFERROR(INDEX(_Datos!F:F,MATCH(465,_Datos!$I:$I,0)),"")</f>
        <v/>
      </c>
      <c r="G472" s="63" t="str">
        <f>IFERROR(INDEX(_Datos!G:G,MATCH(465,_Datos!$I:$I,0)),"")</f>
        <v/>
      </c>
      <c r="H472" s="66" t="str">
        <f>IFERROR(INDEX(_Datos!H:H,MATCH(465,_Datos!$I:$I,0)),"")</f>
        <v/>
      </c>
    </row>
    <row r="473" spans="1:8" x14ac:dyDescent="0.2">
      <c r="A473" s="67" t="str">
        <f>IFERROR(INDEX(_Datos!A:A,MATCH(466,_Datos!$I:$I,0)),"")</f>
        <v/>
      </c>
      <c r="B473" s="67" t="str">
        <f>IFERROR(INDEX(_Datos!B:B,MATCH(466,_Datos!$I:$I,0)),"")</f>
        <v/>
      </c>
      <c r="C473" s="67" t="str">
        <f>IFERROR(INDEX(_Datos!C:C,MATCH(466,_Datos!$I:$I,0)),"")</f>
        <v/>
      </c>
      <c r="D473" s="68" t="str">
        <f>IFERROR(INDEX(_Datos!D:D,MATCH(466,_Datos!$I:$I,0)),"")</f>
        <v/>
      </c>
      <c r="E473" s="69" t="str">
        <f>IFERROR(INDEX(_Datos!E:E,MATCH(466,_Datos!$I:$I,0)),"")</f>
        <v/>
      </c>
      <c r="F473" s="67" t="str">
        <f>IFERROR(INDEX(_Datos!F:F,MATCH(466,_Datos!$I:$I,0)),"")</f>
        <v/>
      </c>
      <c r="G473" s="67" t="str">
        <f>IFERROR(INDEX(_Datos!G:G,MATCH(466,_Datos!$I:$I,0)),"")</f>
        <v/>
      </c>
      <c r="H473" s="70" t="str">
        <f>IFERROR(INDEX(_Datos!H:H,MATCH(466,_Datos!$I:$I,0)),"")</f>
        <v/>
      </c>
    </row>
    <row r="474" spans="1:8" x14ac:dyDescent="0.2">
      <c r="A474" s="63" t="str">
        <f>IFERROR(INDEX(_Datos!A:A,MATCH(467,_Datos!$I:$I,0)),"")</f>
        <v/>
      </c>
      <c r="B474" s="63" t="str">
        <f>IFERROR(INDEX(_Datos!B:B,MATCH(467,_Datos!$I:$I,0)),"")</f>
        <v/>
      </c>
      <c r="C474" s="63" t="str">
        <f>IFERROR(INDEX(_Datos!C:C,MATCH(467,_Datos!$I:$I,0)),"")</f>
        <v/>
      </c>
      <c r="D474" s="64" t="str">
        <f>IFERROR(INDEX(_Datos!D:D,MATCH(467,_Datos!$I:$I,0)),"")</f>
        <v/>
      </c>
      <c r="E474" s="65" t="str">
        <f>IFERROR(INDEX(_Datos!E:E,MATCH(467,_Datos!$I:$I,0)),"")</f>
        <v/>
      </c>
      <c r="F474" s="63" t="str">
        <f>IFERROR(INDEX(_Datos!F:F,MATCH(467,_Datos!$I:$I,0)),"")</f>
        <v/>
      </c>
      <c r="G474" s="63" t="str">
        <f>IFERROR(INDEX(_Datos!G:G,MATCH(467,_Datos!$I:$I,0)),"")</f>
        <v/>
      </c>
      <c r="H474" s="66" t="str">
        <f>IFERROR(INDEX(_Datos!H:H,MATCH(467,_Datos!$I:$I,0)),"")</f>
        <v/>
      </c>
    </row>
    <row r="475" spans="1:8" x14ac:dyDescent="0.2">
      <c r="A475" s="67" t="str">
        <f>IFERROR(INDEX(_Datos!A:A,MATCH(468,_Datos!$I:$I,0)),"")</f>
        <v/>
      </c>
      <c r="B475" s="67" t="str">
        <f>IFERROR(INDEX(_Datos!B:B,MATCH(468,_Datos!$I:$I,0)),"")</f>
        <v/>
      </c>
      <c r="C475" s="67" t="str">
        <f>IFERROR(INDEX(_Datos!C:C,MATCH(468,_Datos!$I:$I,0)),"")</f>
        <v/>
      </c>
      <c r="D475" s="68" t="str">
        <f>IFERROR(INDEX(_Datos!D:D,MATCH(468,_Datos!$I:$I,0)),"")</f>
        <v/>
      </c>
      <c r="E475" s="69" t="str">
        <f>IFERROR(INDEX(_Datos!E:E,MATCH(468,_Datos!$I:$I,0)),"")</f>
        <v/>
      </c>
      <c r="F475" s="67" t="str">
        <f>IFERROR(INDEX(_Datos!F:F,MATCH(468,_Datos!$I:$I,0)),"")</f>
        <v/>
      </c>
      <c r="G475" s="67" t="str">
        <f>IFERROR(INDEX(_Datos!G:G,MATCH(468,_Datos!$I:$I,0)),"")</f>
        <v/>
      </c>
      <c r="H475" s="70" t="str">
        <f>IFERROR(INDEX(_Datos!H:H,MATCH(468,_Datos!$I:$I,0)),"")</f>
        <v/>
      </c>
    </row>
    <row r="476" spans="1:8" x14ac:dyDescent="0.2">
      <c r="A476" s="63" t="str">
        <f>IFERROR(INDEX(_Datos!A:A,MATCH(469,_Datos!$I:$I,0)),"")</f>
        <v/>
      </c>
      <c r="B476" s="63" t="str">
        <f>IFERROR(INDEX(_Datos!B:B,MATCH(469,_Datos!$I:$I,0)),"")</f>
        <v/>
      </c>
      <c r="C476" s="63" t="str">
        <f>IFERROR(INDEX(_Datos!C:C,MATCH(469,_Datos!$I:$I,0)),"")</f>
        <v/>
      </c>
      <c r="D476" s="64" t="str">
        <f>IFERROR(INDEX(_Datos!D:D,MATCH(469,_Datos!$I:$I,0)),"")</f>
        <v/>
      </c>
      <c r="E476" s="65" t="str">
        <f>IFERROR(INDEX(_Datos!E:E,MATCH(469,_Datos!$I:$I,0)),"")</f>
        <v/>
      </c>
      <c r="F476" s="63" t="str">
        <f>IFERROR(INDEX(_Datos!F:F,MATCH(469,_Datos!$I:$I,0)),"")</f>
        <v/>
      </c>
      <c r="G476" s="63" t="str">
        <f>IFERROR(INDEX(_Datos!G:G,MATCH(469,_Datos!$I:$I,0)),"")</f>
        <v/>
      </c>
      <c r="H476" s="66" t="str">
        <f>IFERROR(INDEX(_Datos!H:H,MATCH(469,_Datos!$I:$I,0)),"")</f>
        <v/>
      </c>
    </row>
    <row r="477" spans="1:8" x14ac:dyDescent="0.2">
      <c r="A477" s="67" t="str">
        <f>IFERROR(INDEX(_Datos!A:A,MATCH(470,_Datos!$I:$I,0)),"")</f>
        <v/>
      </c>
      <c r="B477" s="67" t="str">
        <f>IFERROR(INDEX(_Datos!B:B,MATCH(470,_Datos!$I:$I,0)),"")</f>
        <v/>
      </c>
      <c r="C477" s="67" t="str">
        <f>IFERROR(INDEX(_Datos!C:C,MATCH(470,_Datos!$I:$I,0)),"")</f>
        <v/>
      </c>
      <c r="D477" s="68" t="str">
        <f>IFERROR(INDEX(_Datos!D:D,MATCH(470,_Datos!$I:$I,0)),"")</f>
        <v/>
      </c>
      <c r="E477" s="69" t="str">
        <f>IFERROR(INDEX(_Datos!E:E,MATCH(470,_Datos!$I:$I,0)),"")</f>
        <v/>
      </c>
      <c r="F477" s="67" t="str">
        <f>IFERROR(INDEX(_Datos!F:F,MATCH(470,_Datos!$I:$I,0)),"")</f>
        <v/>
      </c>
      <c r="G477" s="67" t="str">
        <f>IFERROR(INDEX(_Datos!G:G,MATCH(470,_Datos!$I:$I,0)),"")</f>
        <v/>
      </c>
      <c r="H477" s="70" t="str">
        <f>IFERROR(INDEX(_Datos!H:H,MATCH(470,_Datos!$I:$I,0)),"")</f>
        <v/>
      </c>
    </row>
    <row r="478" spans="1:8" x14ac:dyDescent="0.2">
      <c r="A478" s="63" t="str">
        <f>IFERROR(INDEX(_Datos!A:A,MATCH(471,_Datos!$I:$I,0)),"")</f>
        <v/>
      </c>
      <c r="B478" s="63" t="str">
        <f>IFERROR(INDEX(_Datos!B:B,MATCH(471,_Datos!$I:$I,0)),"")</f>
        <v/>
      </c>
      <c r="C478" s="63" t="str">
        <f>IFERROR(INDEX(_Datos!C:C,MATCH(471,_Datos!$I:$I,0)),"")</f>
        <v/>
      </c>
      <c r="D478" s="64" t="str">
        <f>IFERROR(INDEX(_Datos!D:D,MATCH(471,_Datos!$I:$I,0)),"")</f>
        <v/>
      </c>
      <c r="E478" s="65" t="str">
        <f>IFERROR(INDEX(_Datos!E:E,MATCH(471,_Datos!$I:$I,0)),"")</f>
        <v/>
      </c>
      <c r="F478" s="63" t="str">
        <f>IFERROR(INDEX(_Datos!F:F,MATCH(471,_Datos!$I:$I,0)),"")</f>
        <v/>
      </c>
      <c r="G478" s="63" t="str">
        <f>IFERROR(INDEX(_Datos!G:G,MATCH(471,_Datos!$I:$I,0)),"")</f>
        <v/>
      </c>
      <c r="H478" s="66" t="str">
        <f>IFERROR(INDEX(_Datos!H:H,MATCH(471,_Datos!$I:$I,0)),"")</f>
        <v/>
      </c>
    </row>
    <row r="479" spans="1:8" x14ac:dyDescent="0.2">
      <c r="A479" s="67" t="str">
        <f>IFERROR(INDEX(_Datos!A:A,MATCH(472,_Datos!$I:$I,0)),"")</f>
        <v/>
      </c>
      <c r="B479" s="67" t="str">
        <f>IFERROR(INDEX(_Datos!B:B,MATCH(472,_Datos!$I:$I,0)),"")</f>
        <v/>
      </c>
      <c r="C479" s="67" t="str">
        <f>IFERROR(INDEX(_Datos!C:C,MATCH(472,_Datos!$I:$I,0)),"")</f>
        <v/>
      </c>
      <c r="D479" s="68" t="str">
        <f>IFERROR(INDEX(_Datos!D:D,MATCH(472,_Datos!$I:$I,0)),"")</f>
        <v/>
      </c>
      <c r="E479" s="69" t="str">
        <f>IFERROR(INDEX(_Datos!E:E,MATCH(472,_Datos!$I:$I,0)),"")</f>
        <v/>
      </c>
      <c r="F479" s="67" t="str">
        <f>IFERROR(INDEX(_Datos!F:F,MATCH(472,_Datos!$I:$I,0)),"")</f>
        <v/>
      </c>
      <c r="G479" s="67" t="str">
        <f>IFERROR(INDEX(_Datos!G:G,MATCH(472,_Datos!$I:$I,0)),"")</f>
        <v/>
      </c>
      <c r="H479" s="70" t="str">
        <f>IFERROR(INDEX(_Datos!H:H,MATCH(472,_Datos!$I:$I,0)),"")</f>
        <v/>
      </c>
    </row>
    <row r="480" spans="1:8" x14ac:dyDescent="0.2">
      <c r="A480" s="63" t="str">
        <f>IFERROR(INDEX(_Datos!A:A,MATCH(473,_Datos!$I:$I,0)),"")</f>
        <v/>
      </c>
      <c r="B480" s="63" t="str">
        <f>IFERROR(INDEX(_Datos!B:B,MATCH(473,_Datos!$I:$I,0)),"")</f>
        <v/>
      </c>
      <c r="C480" s="63" t="str">
        <f>IFERROR(INDEX(_Datos!C:C,MATCH(473,_Datos!$I:$I,0)),"")</f>
        <v/>
      </c>
      <c r="D480" s="64" t="str">
        <f>IFERROR(INDEX(_Datos!D:D,MATCH(473,_Datos!$I:$I,0)),"")</f>
        <v/>
      </c>
      <c r="E480" s="65" t="str">
        <f>IFERROR(INDEX(_Datos!E:E,MATCH(473,_Datos!$I:$I,0)),"")</f>
        <v/>
      </c>
      <c r="F480" s="63" t="str">
        <f>IFERROR(INDEX(_Datos!F:F,MATCH(473,_Datos!$I:$I,0)),"")</f>
        <v/>
      </c>
      <c r="G480" s="63" t="str">
        <f>IFERROR(INDEX(_Datos!G:G,MATCH(473,_Datos!$I:$I,0)),"")</f>
        <v/>
      </c>
      <c r="H480" s="66" t="str">
        <f>IFERROR(INDEX(_Datos!H:H,MATCH(473,_Datos!$I:$I,0)),"")</f>
        <v/>
      </c>
    </row>
    <row r="481" spans="1:8" x14ac:dyDescent="0.2">
      <c r="A481" s="67" t="str">
        <f>IFERROR(INDEX(_Datos!A:A,MATCH(474,_Datos!$I:$I,0)),"")</f>
        <v/>
      </c>
      <c r="B481" s="67" t="str">
        <f>IFERROR(INDEX(_Datos!B:B,MATCH(474,_Datos!$I:$I,0)),"")</f>
        <v/>
      </c>
      <c r="C481" s="67" t="str">
        <f>IFERROR(INDEX(_Datos!C:C,MATCH(474,_Datos!$I:$I,0)),"")</f>
        <v/>
      </c>
      <c r="D481" s="68" t="str">
        <f>IFERROR(INDEX(_Datos!D:D,MATCH(474,_Datos!$I:$I,0)),"")</f>
        <v/>
      </c>
      <c r="E481" s="69" t="str">
        <f>IFERROR(INDEX(_Datos!E:E,MATCH(474,_Datos!$I:$I,0)),"")</f>
        <v/>
      </c>
      <c r="F481" s="67" t="str">
        <f>IFERROR(INDEX(_Datos!F:F,MATCH(474,_Datos!$I:$I,0)),"")</f>
        <v/>
      </c>
      <c r="G481" s="67" t="str">
        <f>IFERROR(INDEX(_Datos!G:G,MATCH(474,_Datos!$I:$I,0)),"")</f>
        <v/>
      </c>
      <c r="H481" s="70" t="str">
        <f>IFERROR(INDEX(_Datos!H:H,MATCH(474,_Datos!$I:$I,0)),"")</f>
        <v/>
      </c>
    </row>
    <row r="482" spans="1:8" x14ac:dyDescent="0.2">
      <c r="A482" s="63" t="str">
        <f>IFERROR(INDEX(_Datos!A:A,MATCH(475,_Datos!$I:$I,0)),"")</f>
        <v/>
      </c>
      <c r="B482" s="63" t="str">
        <f>IFERROR(INDEX(_Datos!B:B,MATCH(475,_Datos!$I:$I,0)),"")</f>
        <v/>
      </c>
      <c r="C482" s="63" t="str">
        <f>IFERROR(INDEX(_Datos!C:C,MATCH(475,_Datos!$I:$I,0)),"")</f>
        <v/>
      </c>
      <c r="D482" s="64" t="str">
        <f>IFERROR(INDEX(_Datos!D:D,MATCH(475,_Datos!$I:$I,0)),"")</f>
        <v/>
      </c>
      <c r="E482" s="65" t="str">
        <f>IFERROR(INDEX(_Datos!E:E,MATCH(475,_Datos!$I:$I,0)),"")</f>
        <v/>
      </c>
      <c r="F482" s="63" t="str">
        <f>IFERROR(INDEX(_Datos!F:F,MATCH(475,_Datos!$I:$I,0)),"")</f>
        <v/>
      </c>
      <c r="G482" s="63" t="str">
        <f>IFERROR(INDEX(_Datos!G:G,MATCH(475,_Datos!$I:$I,0)),"")</f>
        <v/>
      </c>
      <c r="H482" s="66" t="str">
        <f>IFERROR(INDEX(_Datos!H:H,MATCH(475,_Datos!$I:$I,0)),"")</f>
        <v/>
      </c>
    </row>
    <row r="483" spans="1:8" x14ac:dyDescent="0.2">
      <c r="A483" s="67" t="str">
        <f>IFERROR(INDEX(_Datos!A:A,MATCH(476,_Datos!$I:$I,0)),"")</f>
        <v/>
      </c>
      <c r="B483" s="67" t="str">
        <f>IFERROR(INDEX(_Datos!B:B,MATCH(476,_Datos!$I:$I,0)),"")</f>
        <v/>
      </c>
      <c r="C483" s="67" t="str">
        <f>IFERROR(INDEX(_Datos!C:C,MATCH(476,_Datos!$I:$I,0)),"")</f>
        <v/>
      </c>
      <c r="D483" s="68" t="str">
        <f>IFERROR(INDEX(_Datos!D:D,MATCH(476,_Datos!$I:$I,0)),"")</f>
        <v/>
      </c>
      <c r="E483" s="69" t="str">
        <f>IFERROR(INDEX(_Datos!E:E,MATCH(476,_Datos!$I:$I,0)),"")</f>
        <v/>
      </c>
      <c r="F483" s="67" t="str">
        <f>IFERROR(INDEX(_Datos!F:F,MATCH(476,_Datos!$I:$I,0)),"")</f>
        <v/>
      </c>
      <c r="G483" s="67" t="str">
        <f>IFERROR(INDEX(_Datos!G:G,MATCH(476,_Datos!$I:$I,0)),"")</f>
        <v/>
      </c>
      <c r="H483" s="70" t="str">
        <f>IFERROR(INDEX(_Datos!H:H,MATCH(476,_Datos!$I:$I,0)),"")</f>
        <v/>
      </c>
    </row>
    <row r="484" spans="1:8" x14ac:dyDescent="0.2">
      <c r="A484" s="63" t="str">
        <f>IFERROR(INDEX(_Datos!A:A,MATCH(477,_Datos!$I:$I,0)),"")</f>
        <v/>
      </c>
      <c r="B484" s="63" t="str">
        <f>IFERROR(INDEX(_Datos!B:B,MATCH(477,_Datos!$I:$I,0)),"")</f>
        <v/>
      </c>
      <c r="C484" s="63" t="str">
        <f>IFERROR(INDEX(_Datos!C:C,MATCH(477,_Datos!$I:$I,0)),"")</f>
        <v/>
      </c>
      <c r="D484" s="64" t="str">
        <f>IFERROR(INDEX(_Datos!D:D,MATCH(477,_Datos!$I:$I,0)),"")</f>
        <v/>
      </c>
      <c r="E484" s="65" t="str">
        <f>IFERROR(INDEX(_Datos!E:E,MATCH(477,_Datos!$I:$I,0)),"")</f>
        <v/>
      </c>
      <c r="F484" s="63" t="str">
        <f>IFERROR(INDEX(_Datos!F:F,MATCH(477,_Datos!$I:$I,0)),"")</f>
        <v/>
      </c>
      <c r="G484" s="63" t="str">
        <f>IFERROR(INDEX(_Datos!G:G,MATCH(477,_Datos!$I:$I,0)),"")</f>
        <v/>
      </c>
      <c r="H484" s="66" t="str">
        <f>IFERROR(INDEX(_Datos!H:H,MATCH(477,_Datos!$I:$I,0)),"")</f>
        <v/>
      </c>
    </row>
    <row r="485" spans="1:8" x14ac:dyDescent="0.2">
      <c r="A485" s="67" t="str">
        <f>IFERROR(INDEX(_Datos!A:A,MATCH(478,_Datos!$I:$I,0)),"")</f>
        <v/>
      </c>
      <c r="B485" s="67" t="str">
        <f>IFERROR(INDEX(_Datos!B:B,MATCH(478,_Datos!$I:$I,0)),"")</f>
        <v/>
      </c>
      <c r="C485" s="67" t="str">
        <f>IFERROR(INDEX(_Datos!C:C,MATCH(478,_Datos!$I:$I,0)),"")</f>
        <v/>
      </c>
      <c r="D485" s="68" t="str">
        <f>IFERROR(INDEX(_Datos!D:D,MATCH(478,_Datos!$I:$I,0)),"")</f>
        <v/>
      </c>
      <c r="E485" s="69" t="str">
        <f>IFERROR(INDEX(_Datos!E:E,MATCH(478,_Datos!$I:$I,0)),"")</f>
        <v/>
      </c>
      <c r="F485" s="67" t="str">
        <f>IFERROR(INDEX(_Datos!F:F,MATCH(478,_Datos!$I:$I,0)),"")</f>
        <v/>
      </c>
      <c r="G485" s="67" t="str">
        <f>IFERROR(INDEX(_Datos!G:G,MATCH(478,_Datos!$I:$I,0)),"")</f>
        <v/>
      </c>
      <c r="H485" s="70" t="str">
        <f>IFERROR(INDEX(_Datos!H:H,MATCH(478,_Datos!$I:$I,0)),"")</f>
        <v/>
      </c>
    </row>
    <row r="486" spans="1:8" x14ac:dyDescent="0.2">
      <c r="A486" s="63" t="str">
        <f>IFERROR(INDEX(_Datos!A:A,MATCH(479,_Datos!$I:$I,0)),"")</f>
        <v/>
      </c>
      <c r="B486" s="63" t="str">
        <f>IFERROR(INDEX(_Datos!B:B,MATCH(479,_Datos!$I:$I,0)),"")</f>
        <v/>
      </c>
      <c r="C486" s="63" t="str">
        <f>IFERROR(INDEX(_Datos!C:C,MATCH(479,_Datos!$I:$I,0)),"")</f>
        <v/>
      </c>
      <c r="D486" s="64" t="str">
        <f>IFERROR(INDEX(_Datos!D:D,MATCH(479,_Datos!$I:$I,0)),"")</f>
        <v/>
      </c>
      <c r="E486" s="65" t="str">
        <f>IFERROR(INDEX(_Datos!E:E,MATCH(479,_Datos!$I:$I,0)),"")</f>
        <v/>
      </c>
      <c r="F486" s="63" t="str">
        <f>IFERROR(INDEX(_Datos!F:F,MATCH(479,_Datos!$I:$I,0)),"")</f>
        <v/>
      </c>
      <c r="G486" s="63" t="str">
        <f>IFERROR(INDEX(_Datos!G:G,MATCH(479,_Datos!$I:$I,0)),"")</f>
        <v/>
      </c>
      <c r="H486" s="66" t="str">
        <f>IFERROR(INDEX(_Datos!H:H,MATCH(479,_Datos!$I:$I,0)),"")</f>
        <v/>
      </c>
    </row>
    <row r="487" spans="1:8" x14ac:dyDescent="0.2">
      <c r="A487" s="67" t="str">
        <f>IFERROR(INDEX(_Datos!A:A,MATCH(480,_Datos!$I:$I,0)),"")</f>
        <v/>
      </c>
      <c r="B487" s="67" t="str">
        <f>IFERROR(INDEX(_Datos!B:B,MATCH(480,_Datos!$I:$I,0)),"")</f>
        <v/>
      </c>
      <c r="C487" s="67" t="str">
        <f>IFERROR(INDEX(_Datos!C:C,MATCH(480,_Datos!$I:$I,0)),"")</f>
        <v/>
      </c>
      <c r="D487" s="68" t="str">
        <f>IFERROR(INDEX(_Datos!D:D,MATCH(480,_Datos!$I:$I,0)),"")</f>
        <v/>
      </c>
      <c r="E487" s="69" t="str">
        <f>IFERROR(INDEX(_Datos!E:E,MATCH(480,_Datos!$I:$I,0)),"")</f>
        <v/>
      </c>
      <c r="F487" s="67" t="str">
        <f>IFERROR(INDEX(_Datos!F:F,MATCH(480,_Datos!$I:$I,0)),"")</f>
        <v/>
      </c>
      <c r="G487" s="67" t="str">
        <f>IFERROR(INDEX(_Datos!G:G,MATCH(480,_Datos!$I:$I,0)),"")</f>
        <v/>
      </c>
      <c r="H487" s="70" t="str">
        <f>IFERROR(INDEX(_Datos!H:H,MATCH(480,_Datos!$I:$I,0)),"")</f>
        <v/>
      </c>
    </row>
    <row r="488" spans="1:8" x14ac:dyDescent="0.2">
      <c r="A488" s="63" t="str">
        <f>IFERROR(INDEX(_Datos!A:A,MATCH(481,_Datos!$I:$I,0)),"")</f>
        <v/>
      </c>
      <c r="B488" s="63" t="str">
        <f>IFERROR(INDEX(_Datos!B:B,MATCH(481,_Datos!$I:$I,0)),"")</f>
        <v/>
      </c>
      <c r="C488" s="63" t="str">
        <f>IFERROR(INDEX(_Datos!C:C,MATCH(481,_Datos!$I:$I,0)),"")</f>
        <v/>
      </c>
      <c r="D488" s="64" t="str">
        <f>IFERROR(INDEX(_Datos!D:D,MATCH(481,_Datos!$I:$I,0)),"")</f>
        <v/>
      </c>
      <c r="E488" s="65" t="str">
        <f>IFERROR(INDEX(_Datos!E:E,MATCH(481,_Datos!$I:$I,0)),"")</f>
        <v/>
      </c>
      <c r="F488" s="63" t="str">
        <f>IFERROR(INDEX(_Datos!F:F,MATCH(481,_Datos!$I:$I,0)),"")</f>
        <v/>
      </c>
      <c r="G488" s="63" t="str">
        <f>IFERROR(INDEX(_Datos!G:G,MATCH(481,_Datos!$I:$I,0)),"")</f>
        <v/>
      </c>
      <c r="H488" s="66" t="str">
        <f>IFERROR(INDEX(_Datos!H:H,MATCH(481,_Datos!$I:$I,0)),"")</f>
        <v/>
      </c>
    </row>
    <row r="489" spans="1:8" x14ac:dyDescent="0.2">
      <c r="A489" s="67" t="str">
        <f>IFERROR(INDEX(_Datos!A:A,MATCH(482,_Datos!$I:$I,0)),"")</f>
        <v/>
      </c>
      <c r="B489" s="67" t="str">
        <f>IFERROR(INDEX(_Datos!B:B,MATCH(482,_Datos!$I:$I,0)),"")</f>
        <v/>
      </c>
      <c r="C489" s="67" t="str">
        <f>IFERROR(INDEX(_Datos!C:C,MATCH(482,_Datos!$I:$I,0)),"")</f>
        <v/>
      </c>
      <c r="D489" s="68" t="str">
        <f>IFERROR(INDEX(_Datos!D:D,MATCH(482,_Datos!$I:$I,0)),"")</f>
        <v/>
      </c>
      <c r="E489" s="69" t="str">
        <f>IFERROR(INDEX(_Datos!E:E,MATCH(482,_Datos!$I:$I,0)),"")</f>
        <v/>
      </c>
      <c r="F489" s="67" t="str">
        <f>IFERROR(INDEX(_Datos!F:F,MATCH(482,_Datos!$I:$I,0)),"")</f>
        <v/>
      </c>
      <c r="G489" s="67" t="str">
        <f>IFERROR(INDEX(_Datos!G:G,MATCH(482,_Datos!$I:$I,0)),"")</f>
        <v/>
      </c>
      <c r="H489" s="70" t="str">
        <f>IFERROR(INDEX(_Datos!H:H,MATCH(482,_Datos!$I:$I,0)),"")</f>
        <v/>
      </c>
    </row>
    <row r="490" spans="1:8" x14ac:dyDescent="0.2">
      <c r="A490" s="63" t="str">
        <f>IFERROR(INDEX(_Datos!A:A,MATCH(483,_Datos!$I:$I,0)),"")</f>
        <v/>
      </c>
      <c r="B490" s="63" t="str">
        <f>IFERROR(INDEX(_Datos!B:B,MATCH(483,_Datos!$I:$I,0)),"")</f>
        <v/>
      </c>
      <c r="C490" s="63" t="str">
        <f>IFERROR(INDEX(_Datos!C:C,MATCH(483,_Datos!$I:$I,0)),"")</f>
        <v/>
      </c>
      <c r="D490" s="64" t="str">
        <f>IFERROR(INDEX(_Datos!D:D,MATCH(483,_Datos!$I:$I,0)),"")</f>
        <v/>
      </c>
      <c r="E490" s="65" t="str">
        <f>IFERROR(INDEX(_Datos!E:E,MATCH(483,_Datos!$I:$I,0)),"")</f>
        <v/>
      </c>
      <c r="F490" s="63" t="str">
        <f>IFERROR(INDEX(_Datos!F:F,MATCH(483,_Datos!$I:$I,0)),"")</f>
        <v/>
      </c>
      <c r="G490" s="63" t="str">
        <f>IFERROR(INDEX(_Datos!G:G,MATCH(483,_Datos!$I:$I,0)),"")</f>
        <v/>
      </c>
      <c r="H490" s="66" t="str">
        <f>IFERROR(INDEX(_Datos!H:H,MATCH(483,_Datos!$I:$I,0)),"")</f>
        <v/>
      </c>
    </row>
    <row r="491" spans="1:8" x14ac:dyDescent="0.2">
      <c r="A491" s="67" t="str">
        <f>IFERROR(INDEX(_Datos!A:A,MATCH(484,_Datos!$I:$I,0)),"")</f>
        <v/>
      </c>
      <c r="B491" s="67" t="str">
        <f>IFERROR(INDEX(_Datos!B:B,MATCH(484,_Datos!$I:$I,0)),"")</f>
        <v/>
      </c>
      <c r="C491" s="67" t="str">
        <f>IFERROR(INDEX(_Datos!C:C,MATCH(484,_Datos!$I:$I,0)),"")</f>
        <v/>
      </c>
      <c r="D491" s="68" t="str">
        <f>IFERROR(INDEX(_Datos!D:D,MATCH(484,_Datos!$I:$I,0)),"")</f>
        <v/>
      </c>
      <c r="E491" s="69" t="str">
        <f>IFERROR(INDEX(_Datos!E:E,MATCH(484,_Datos!$I:$I,0)),"")</f>
        <v/>
      </c>
      <c r="F491" s="67" t="str">
        <f>IFERROR(INDEX(_Datos!F:F,MATCH(484,_Datos!$I:$I,0)),"")</f>
        <v/>
      </c>
      <c r="G491" s="67" t="str">
        <f>IFERROR(INDEX(_Datos!G:G,MATCH(484,_Datos!$I:$I,0)),"")</f>
        <v/>
      </c>
      <c r="H491" s="70" t="str">
        <f>IFERROR(INDEX(_Datos!H:H,MATCH(484,_Datos!$I:$I,0)),"")</f>
        <v/>
      </c>
    </row>
    <row r="492" spans="1:8" x14ac:dyDescent="0.2">
      <c r="A492" s="63" t="str">
        <f>IFERROR(INDEX(_Datos!A:A,MATCH(485,_Datos!$I:$I,0)),"")</f>
        <v/>
      </c>
      <c r="B492" s="63" t="str">
        <f>IFERROR(INDEX(_Datos!B:B,MATCH(485,_Datos!$I:$I,0)),"")</f>
        <v/>
      </c>
      <c r="C492" s="63" t="str">
        <f>IFERROR(INDEX(_Datos!C:C,MATCH(485,_Datos!$I:$I,0)),"")</f>
        <v/>
      </c>
      <c r="D492" s="64" t="str">
        <f>IFERROR(INDEX(_Datos!D:D,MATCH(485,_Datos!$I:$I,0)),"")</f>
        <v/>
      </c>
      <c r="E492" s="65" t="str">
        <f>IFERROR(INDEX(_Datos!E:E,MATCH(485,_Datos!$I:$I,0)),"")</f>
        <v/>
      </c>
      <c r="F492" s="63" t="str">
        <f>IFERROR(INDEX(_Datos!F:F,MATCH(485,_Datos!$I:$I,0)),"")</f>
        <v/>
      </c>
      <c r="G492" s="63" t="str">
        <f>IFERROR(INDEX(_Datos!G:G,MATCH(485,_Datos!$I:$I,0)),"")</f>
        <v/>
      </c>
      <c r="H492" s="66" t="str">
        <f>IFERROR(INDEX(_Datos!H:H,MATCH(485,_Datos!$I:$I,0)),"")</f>
        <v/>
      </c>
    </row>
    <row r="493" spans="1:8" x14ac:dyDescent="0.2">
      <c r="A493" s="67" t="str">
        <f>IFERROR(INDEX(_Datos!A:A,MATCH(486,_Datos!$I:$I,0)),"")</f>
        <v/>
      </c>
      <c r="B493" s="67" t="str">
        <f>IFERROR(INDEX(_Datos!B:B,MATCH(486,_Datos!$I:$I,0)),"")</f>
        <v/>
      </c>
      <c r="C493" s="67" t="str">
        <f>IFERROR(INDEX(_Datos!C:C,MATCH(486,_Datos!$I:$I,0)),"")</f>
        <v/>
      </c>
      <c r="D493" s="68" t="str">
        <f>IFERROR(INDEX(_Datos!D:D,MATCH(486,_Datos!$I:$I,0)),"")</f>
        <v/>
      </c>
      <c r="E493" s="69" t="str">
        <f>IFERROR(INDEX(_Datos!E:E,MATCH(486,_Datos!$I:$I,0)),"")</f>
        <v/>
      </c>
      <c r="F493" s="67" t="str">
        <f>IFERROR(INDEX(_Datos!F:F,MATCH(486,_Datos!$I:$I,0)),"")</f>
        <v/>
      </c>
      <c r="G493" s="67" t="str">
        <f>IFERROR(INDEX(_Datos!G:G,MATCH(486,_Datos!$I:$I,0)),"")</f>
        <v/>
      </c>
      <c r="H493" s="70" t="str">
        <f>IFERROR(INDEX(_Datos!H:H,MATCH(486,_Datos!$I:$I,0)),"")</f>
        <v/>
      </c>
    </row>
    <row r="494" spans="1:8" x14ac:dyDescent="0.2">
      <c r="A494" s="63" t="str">
        <f>IFERROR(INDEX(_Datos!A:A,MATCH(487,_Datos!$I:$I,0)),"")</f>
        <v/>
      </c>
      <c r="B494" s="63" t="str">
        <f>IFERROR(INDEX(_Datos!B:B,MATCH(487,_Datos!$I:$I,0)),"")</f>
        <v/>
      </c>
      <c r="C494" s="63" t="str">
        <f>IFERROR(INDEX(_Datos!C:C,MATCH(487,_Datos!$I:$I,0)),"")</f>
        <v/>
      </c>
      <c r="D494" s="64" t="str">
        <f>IFERROR(INDEX(_Datos!D:D,MATCH(487,_Datos!$I:$I,0)),"")</f>
        <v/>
      </c>
      <c r="E494" s="65" t="str">
        <f>IFERROR(INDEX(_Datos!E:E,MATCH(487,_Datos!$I:$I,0)),"")</f>
        <v/>
      </c>
      <c r="F494" s="63" t="str">
        <f>IFERROR(INDEX(_Datos!F:F,MATCH(487,_Datos!$I:$I,0)),"")</f>
        <v/>
      </c>
      <c r="G494" s="63" t="str">
        <f>IFERROR(INDEX(_Datos!G:G,MATCH(487,_Datos!$I:$I,0)),"")</f>
        <v/>
      </c>
      <c r="H494" s="66" t="str">
        <f>IFERROR(INDEX(_Datos!H:H,MATCH(487,_Datos!$I:$I,0)),"")</f>
        <v/>
      </c>
    </row>
    <row r="495" spans="1:8" x14ac:dyDescent="0.2">
      <c r="A495" s="67" t="str">
        <f>IFERROR(INDEX(_Datos!A:A,MATCH(488,_Datos!$I:$I,0)),"")</f>
        <v/>
      </c>
      <c r="B495" s="67" t="str">
        <f>IFERROR(INDEX(_Datos!B:B,MATCH(488,_Datos!$I:$I,0)),"")</f>
        <v/>
      </c>
      <c r="C495" s="67" t="str">
        <f>IFERROR(INDEX(_Datos!C:C,MATCH(488,_Datos!$I:$I,0)),"")</f>
        <v/>
      </c>
      <c r="D495" s="68" t="str">
        <f>IFERROR(INDEX(_Datos!D:D,MATCH(488,_Datos!$I:$I,0)),"")</f>
        <v/>
      </c>
      <c r="E495" s="69" t="str">
        <f>IFERROR(INDEX(_Datos!E:E,MATCH(488,_Datos!$I:$I,0)),"")</f>
        <v/>
      </c>
      <c r="F495" s="67" t="str">
        <f>IFERROR(INDEX(_Datos!F:F,MATCH(488,_Datos!$I:$I,0)),"")</f>
        <v/>
      </c>
      <c r="G495" s="67" t="str">
        <f>IFERROR(INDEX(_Datos!G:G,MATCH(488,_Datos!$I:$I,0)),"")</f>
        <v/>
      </c>
      <c r="H495" s="70" t="str">
        <f>IFERROR(INDEX(_Datos!H:H,MATCH(488,_Datos!$I:$I,0)),"")</f>
        <v/>
      </c>
    </row>
    <row r="496" spans="1:8" x14ac:dyDescent="0.2">
      <c r="A496" s="63" t="str">
        <f>IFERROR(INDEX(_Datos!A:A,MATCH(489,_Datos!$I:$I,0)),"")</f>
        <v/>
      </c>
      <c r="B496" s="63" t="str">
        <f>IFERROR(INDEX(_Datos!B:B,MATCH(489,_Datos!$I:$I,0)),"")</f>
        <v/>
      </c>
      <c r="C496" s="63" t="str">
        <f>IFERROR(INDEX(_Datos!C:C,MATCH(489,_Datos!$I:$I,0)),"")</f>
        <v/>
      </c>
      <c r="D496" s="64" t="str">
        <f>IFERROR(INDEX(_Datos!D:D,MATCH(489,_Datos!$I:$I,0)),"")</f>
        <v/>
      </c>
      <c r="E496" s="65" t="str">
        <f>IFERROR(INDEX(_Datos!E:E,MATCH(489,_Datos!$I:$I,0)),"")</f>
        <v/>
      </c>
      <c r="F496" s="63" t="str">
        <f>IFERROR(INDEX(_Datos!F:F,MATCH(489,_Datos!$I:$I,0)),"")</f>
        <v/>
      </c>
      <c r="G496" s="63" t="str">
        <f>IFERROR(INDEX(_Datos!G:G,MATCH(489,_Datos!$I:$I,0)),"")</f>
        <v/>
      </c>
      <c r="H496" s="66" t="str">
        <f>IFERROR(INDEX(_Datos!H:H,MATCH(489,_Datos!$I:$I,0)),"")</f>
        <v/>
      </c>
    </row>
    <row r="497" spans="1:8" x14ac:dyDescent="0.2">
      <c r="A497" s="67" t="str">
        <f>IFERROR(INDEX(_Datos!A:A,MATCH(490,_Datos!$I:$I,0)),"")</f>
        <v/>
      </c>
      <c r="B497" s="67" t="str">
        <f>IFERROR(INDEX(_Datos!B:B,MATCH(490,_Datos!$I:$I,0)),"")</f>
        <v/>
      </c>
      <c r="C497" s="67" t="str">
        <f>IFERROR(INDEX(_Datos!C:C,MATCH(490,_Datos!$I:$I,0)),"")</f>
        <v/>
      </c>
      <c r="D497" s="68" t="str">
        <f>IFERROR(INDEX(_Datos!D:D,MATCH(490,_Datos!$I:$I,0)),"")</f>
        <v/>
      </c>
      <c r="E497" s="69" t="str">
        <f>IFERROR(INDEX(_Datos!E:E,MATCH(490,_Datos!$I:$I,0)),"")</f>
        <v/>
      </c>
      <c r="F497" s="67" t="str">
        <f>IFERROR(INDEX(_Datos!F:F,MATCH(490,_Datos!$I:$I,0)),"")</f>
        <v/>
      </c>
      <c r="G497" s="67" t="str">
        <f>IFERROR(INDEX(_Datos!G:G,MATCH(490,_Datos!$I:$I,0)),"")</f>
        <v/>
      </c>
      <c r="H497" s="70" t="str">
        <f>IFERROR(INDEX(_Datos!H:H,MATCH(490,_Datos!$I:$I,0)),"")</f>
        <v/>
      </c>
    </row>
    <row r="498" spans="1:8" x14ac:dyDescent="0.2">
      <c r="A498" s="63" t="str">
        <f>IFERROR(INDEX(_Datos!A:A,MATCH(491,_Datos!$I:$I,0)),"")</f>
        <v/>
      </c>
      <c r="B498" s="63" t="str">
        <f>IFERROR(INDEX(_Datos!B:B,MATCH(491,_Datos!$I:$I,0)),"")</f>
        <v/>
      </c>
      <c r="C498" s="63" t="str">
        <f>IFERROR(INDEX(_Datos!C:C,MATCH(491,_Datos!$I:$I,0)),"")</f>
        <v/>
      </c>
      <c r="D498" s="64" t="str">
        <f>IFERROR(INDEX(_Datos!D:D,MATCH(491,_Datos!$I:$I,0)),"")</f>
        <v/>
      </c>
      <c r="E498" s="65" t="str">
        <f>IFERROR(INDEX(_Datos!E:E,MATCH(491,_Datos!$I:$I,0)),"")</f>
        <v/>
      </c>
      <c r="F498" s="63" t="str">
        <f>IFERROR(INDEX(_Datos!F:F,MATCH(491,_Datos!$I:$I,0)),"")</f>
        <v/>
      </c>
      <c r="G498" s="63" t="str">
        <f>IFERROR(INDEX(_Datos!G:G,MATCH(491,_Datos!$I:$I,0)),"")</f>
        <v/>
      </c>
      <c r="H498" s="66" t="str">
        <f>IFERROR(INDEX(_Datos!H:H,MATCH(491,_Datos!$I:$I,0)),"")</f>
        <v/>
      </c>
    </row>
    <row r="499" spans="1:8" x14ac:dyDescent="0.2">
      <c r="A499" s="67" t="str">
        <f>IFERROR(INDEX(_Datos!A:A,MATCH(492,_Datos!$I:$I,0)),"")</f>
        <v/>
      </c>
      <c r="B499" s="67" t="str">
        <f>IFERROR(INDEX(_Datos!B:B,MATCH(492,_Datos!$I:$I,0)),"")</f>
        <v/>
      </c>
      <c r="C499" s="67" t="str">
        <f>IFERROR(INDEX(_Datos!C:C,MATCH(492,_Datos!$I:$I,0)),"")</f>
        <v/>
      </c>
      <c r="D499" s="68" t="str">
        <f>IFERROR(INDEX(_Datos!D:D,MATCH(492,_Datos!$I:$I,0)),"")</f>
        <v/>
      </c>
      <c r="E499" s="69" t="str">
        <f>IFERROR(INDEX(_Datos!E:E,MATCH(492,_Datos!$I:$I,0)),"")</f>
        <v/>
      </c>
      <c r="F499" s="67" t="str">
        <f>IFERROR(INDEX(_Datos!F:F,MATCH(492,_Datos!$I:$I,0)),"")</f>
        <v/>
      </c>
      <c r="G499" s="67" t="str">
        <f>IFERROR(INDEX(_Datos!G:G,MATCH(492,_Datos!$I:$I,0)),"")</f>
        <v/>
      </c>
      <c r="H499" s="70" t="str">
        <f>IFERROR(INDEX(_Datos!H:H,MATCH(492,_Datos!$I:$I,0)),"")</f>
        <v/>
      </c>
    </row>
    <row r="500" spans="1:8" x14ac:dyDescent="0.2">
      <c r="A500" s="63" t="str">
        <f>IFERROR(INDEX(_Datos!A:A,MATCH(493,_Datos!$I:$I,0)),"")</f>
        <v/>
      </c>
      <c r="B500" s="63" t="str">
        <f>IFERROR(INDEX(_Datos!B:B,MATCH(493,_Datos!$I:$I,0)),"")</f>
        <v/>
      </c>
      <c r="C500" s="63" t="str">
        <f>IFERROR(INDEX(_Datos!C:C,MATCH(493,_Datos!$I:$I,0)),"")</f>
        <v/>
      </c>
      <c r="D500" s="64" t="str">
        <f>IFERROR(INDEX(_Datos!D:D,MATCH(493,_Datos!$I:$I,0)),"")</f>
        <v/>
      </c>
      <c r="E500" s="65" t="str">
        <f>IFERROR(INDEX(_Datos!E:E,MATCH(493,_Datos!$I:$I,0)),"")</f>
        <v/>
      </c>
      <c r="F500" s="63" t="str">
        <f>IFERROR(INDEX(_Datos!F:F,MATCH(493,_Datos!$I:$I,0)),"")</f>
        <v/>
      </c>
      <c r="G500" s="63" t="str">
        <f>IFERROR(INDEX(_Datos!G:G,MATCH(493,_Datos!$I:$I,0)),"")</f>
        <v/>
      </c>
      <c r="H500" s="66" t="str">
        <f>IFERROR(INDEX(_Datos!H:H,MATCH(493,_Datos!$I:$I,0)),"")</f>
        <v/>
      </c>
    </row>
    <row r="501" spans="1:8" x14ac:dyDescent="0.2">
      <c r="A501" s="67" t="str">
        <f>IFERROR(INDEX(_Datos!A:A,MATCH(494,_Datos!$I:$I,0)),"")</f>
        <v/>
      </c>
      <c r="B501" s="67" t="str">
        <f>IFERROR(INDEX(_Datos!B:B,MATCH(494,_Datos!$I:$I,0)),"")</f>
        <v/>
      </c>
      <c r="C501" s="67" t="str">
        <f>IFERROR(INDEX(_Datos!C:C,MATCH(494,_Datos!$I:$I,0)),"")</f>
        <v/>
      </c>
      <c r="D501" s="68" t="str">
        <f>IFERROR(INDEX(_Datos!D:D,MATCH(494,_Datos!$I:$I,0)),"")</f>
        <v/>
      </c>
      <c r="E501" s="69" t="str">
        <f>IFERROR(INDEX(_Datos!E:E,MATCH(494,_Datos!$I:$I,0)),"")</f>
        <v/>
      </c>
      <c r="F501" s="67" t="str">
        <f>IFERROR(INDEX(_Datos!F:F,MATCH(494,_Datos!$I:$I,0)),"")</f>
        <v/>
      </c>
      <c r="G501" s="67" t="str">
        <f>IFERROR(INDEX(_Datos!G:G,MATCH(494,_Datos!$I:$I,0)),"")</f>
        <v/>
      </c>
      <c r="H501" s="70" t="str">
        <f>IFERROR(INDEX(_Datos!H:H,MATCH(494,_Datos!$I:$I,0)),"")</f>
        <v/>
      </c>
    </row>
    <row r="502" spans="1:8" x14ac:dyDescent="0.2">
      <c r="A502" s="63" t="str">
        <f>IFERROR(INDEX(_Datos!A:A,MATCH(495,_Datos!$I:$I,0)),"")</f>
        <v/>
      </c>
      <c r="B502" s="63" t="str">
        <f>IFERROR(INDEX(_Datos!B:B,MATCH(495,_Datos!$I:$I,0)),"")</f>
        <v/>
      </c>
      <c r="C502" s="63" t="str">
        <f>IFERROR(INDEX(_Datos!C:C,MATCH(495,_Datos!$I:$I,0)),"")</f>
        <v/>
      </c>
      <c r="D502" s="64" t="str">
        <f>IFERROR(INDEX(_Datos!D:D,MATCH(495,_Datos!$I:$I,0)),"")</f>
        <v/>
      </c>
      <c r="E502" s="65" t="str">
        <f>IFERROR(INDEX(_Datos!E:E,MATCH(495,_Datos!$I:$I,0)),"")</f>
        <v/>
      </c>
      <c r="F502" s="63" t="str">
        <f>IFERROR(INDEX(_Datos!F:F,MATCH(495,_Datos!$I:$I,0)),"")</f>
        <v/>
      </c>
      <c r="G502" s="63" t="str">
        <f>IFERROR(INDEX(_Datos!G:G,MATCH(495,_Datos!$I:$I,0)),"")</f>
        <v/>
      </c>
      <c r="H502" s="66" t="str">
        <f>IFERROR(INDEX(_Datos!H:H,MATCH(495,_Datos!$I:$I,0)),"")</f>
        <v/>
      </c>
    </row>
    <row r="503" spans="1:8" x14ac:dyDescent="0.2">
      <c r="A503" s="67" t="str">
        <f>IFERROR(INDEX(_Datos!A:A,MATCH(496,_Datos!$I:$I,0)),"")</f>
        <v/>
      </c>
      <c r="B503" s="67" t="str">
        <f>IFERROR(INDEX(_Datos!B:B,MATCH(496,_Datos!$I:$I,0)),"")</f>
        <v/>
      </c>
      <c r="C503" s="67" t="str">
        <f>IFERROR(INDEX(_Datos!C:C,MATCH(496,_Datos!$I:$I,0)),"")</f>
        <v/>
      </c>
      <c r="D503" s="68" t="str">
        <f>IFERROR(INDEX(_Datos!D:D,MATCH(496,_Datos!$I:$I,0)),"")</f>
        <v/>
      </c>
      <c r="E503" s="69" t="str">
        <f>IFERROR(INDEX(_Datos!E:E,MATCH(496,_Datos!$I:$I,0)),"")</f>
        <v/>
      </c>
      <c r="F503" s="67" t="str">
        <f>IFERROR(INDEX(_Datos!F:F,MATCH(496,_Datos!$I:$I,0)),"")</f>
        <v/>
      </c>
      <c r="G503" s="67" t="str">
        <f>IFERROR(INDEX(_Datos!G:G,MATCH(496,_Datos!$I:$I,0)),"")</f>
        <v/>
      </c>
      <c r="H503" s="70" t="str">
        <f>IFERROR(INDEX(_Datos!H:H,MATCH(496,_Datos!$I:$I,0)),"")</f>
        <v/>
      </c>
    </row>
    <row r="504" spans="1:8" x14ac:dyDescent="0.2">
      <c r="A504" s="63" t="str">
        <f>IFERROR(INDEX(_Datos!A:A,MATCH(497,_Datos!$I:$I,0)),"")</f>
        <v/>
      </c>
      <c r="B504" s="63" t="str">
        <f>IFERROR(INDEX(_Datos!B:B,MATCH(497,_Datos!$I:$I,0)),"")</f>
        <v/>
      </c>
      <c r="C504" s="63" t="str">
        <f>IFERROR(INDEX(_Datos!C:C,MATCH(497,_Datos!$I:$I,0)),"")</f>
        <v/>
      </c>
      <c r="D504" s="64" t="str">
        <f>IFERROR(INDEX(_Datos!D:D,MATCH(497,_Datos!$I:$I,0)),"")</f>
        <v/>
      </c>
      <c r="E504" s="65" t="str">
        <f>IFERROR(INDEX(_Datos!E:E,MATCH(497,_Datos!$I:$I,0)),"")</f>
        <v/>
      </c>
      <c r="F504" s="63" t="str">
        <f>IFERROR(INDEX(_Datos!F:F,MATCH(497,_Datos!$I:$I,0)),"")</f>
        <v/>
      </c>
      <c r="G504" s="63" t="str">
        <f>IFERROR(INDEX(_Datos!G:G,MATCH(497,_Datos!$I:$I,0)),"")</f>
        <v/>
      </c>
      <c r="H504" s="66" t="str">
        <f>IFERROR(INDEX(_Datos!H:H,MATCH(497,_Datos!$I:$I,0)),"")</f>
        <v/>
      </c>
    </row>
    <row r="505" spans="1:8" x14ac:dyDescent="0.2">
      <c r="A505" s="67" t="str">
        <f>IFERROR(INDEX(_Datos!A:A,MATCH(498,_Datos!$I:$I,0)),"")</f>
        <v/>
      </c>
      <c r="B505" s="67" t="str">
        <f>IFERROR(INDEX(_Datos!B:B,MATCH(498,_Datos!$I:$I,0)),"")</f>
        <v/>
      </c>
      <c r="C505" s="67" t="str">
        <f>IFERROR(INDEX(_Datos!C:C,MATCH(498,_Datos!$I:$I,0)),"")</f>
        <v/>
      </c>
      <c r="D505" s="68" t="str">
        <f>IFERROR(INDEX(_Datos!D:D,MATCH(498,_Datos!$I:$I,0)),"")</f>
        <v/>
      </c>
      <c r="E505" s="69" t="str">
        <f>IFERROR(INDEX(_Datos!E:E,MATCH(498,_Datos!$I:$I,0)),"")</f>
        <v/>
      </c>
      <c r="F505" s="67" t="str">
        <f>IFERROR(INDEX(_Datos!F:F,MATCH(498,_Datos!$I:$I,0)),"")</f>
        <v/>
      </c>
      <c r="G505" s="67" t="str">
        <f>IFERROR(INDEX(_Datos!G:G,MATCH(498,_Datos!$I:$I,0)),"")</f>
        <v/>
      </c>
      <c r="H505" s="70" t="str">
        <f>IFERROR(INDEX(_Datos!H:H,MATCH(498,_Datos!$I:$I,0)),"")</f>
        <v/>
      </c>
    </row>
    <row r="506" spans="1:8" x14ac:dyDescent="0.2">
      <c r="A506" s="63" t="str">
        <f>IFERROR(INDEX(_Datos!A:A,MATCH(499,_Datos!$I:$I,0)),"")</f>
        <v/>
      </c>
      <c r="B506" s="63" t="str">
        <f>IFERROR(INDEX(_Datos!B:B,MATCH(499,_Datos!$I:$I,0)),"")</f>
        <v/>
      </c>
      <c r="C506" s="63" t="str">
        <f>IFERROR(INDEX(_Datos!C:C,MATCH(499,_Datos!$I:$I,0)),"")</f>
        <v/>
      </c>
      <c r="D506" s="64" t="str">
        <f>IFERROR(INDEX(_Datos!D:D,MATCH(499,_Datos!$I:$I,0)),"")</f>
        <v/>
      </c>
      <c r="E506" s="65" t="str">
        <f>IFERROR(INDEX(_Datos!E:E,MATCH(499,_Datos!$I:$I,0)),"")</f>
        <v/>
      </c>
      <c r="F506" s="63" t="str">
        <f>IFERROR(INDEX(_Datos!F:F,MATCH(499,_Datos!$I:$I,0)),"")</f>
        <v/>
      </c>
      <c r="G506" s="63" t="str">
        <f>IFERROR(INDEX(_Datos!G:G,MATCH(499,_Datos!$I:$I,0)),"")</f>
        <v/>
      </c>
      <c r="H506" s="66" t="str">
        <f>IFERROR(INDEX(_Datos!H:H,MATCH(499,_Datos!$I:$I,0)),"")</f>
        <v/>
      </c>
    </row>
    <row r="507" spans="1:8" x14ac:dyDescent="0.2">
      <c r="A507" s="67" t="str">
        <f>IFERROR(INDEX(_Datos!A:A,MATCH(500,_Datos!$I:$I,0)),"")</f>
        <v/>
      </c>
      <c r="B507" s="67" t="str">
        <f>IFERROR(INDEX(_Datos!B:B,MATCH(500,_Datos!$I:$I,0)),"")</f>
        <v/>
      </c>
      <c r="C507" s="67" t="str">
        <f>IFERROR(INDEX(_Datos!C:C,MATCH(500,_Datos!$I:$I,0)),"")</f>
        <v/>
      </c>
      <c r="D507" s="68" t="str">
        <f>IFERROR(INDEX(_Datos!D:D,MATCH(500,_Datos!$I:$I,0)),"")</f>
        <v/>
      </c>
      <c r="E507" s="69" t="str">
        <f>IFERROR(INDEX(_Datos!E:E,MATCH(500,_Datos!$I:$I,0)),"")</f>
        <v/>
      </c>
      <c r="F507" s="67" t="str">
        <f>IFERROR(INDEX(_Datos!F:F,MATCH(500,_Datos!$I:$I,0)),"")</f>
        <v/>
      </c>
      <c r="G507" s="67" t="str">
        <f>IFERROR(INDEX(_Datos!G:G,MATCH(500,_Datos!$I:$I,0)),"")</f>
        <v/>
      </c>
      <c r="H507" s="70" t="str">
        <f>IFERROR(INDEX(_Datos!H:H,MATCH(500,_Datos!$I:$I,0)),"")</f>
        <v/>
      </c>
    </row>
    <row r="508" spans="1:8" x14ac:dyDescent="0.2">
      <c r="A508" s="63" t="str">
        <f>IFERROR(INDEX(_Datos!A:A,MATCH(501,_Datos!$I:$I,0)),"")</f>
        <v/>
      </c>
      <c r="B508" s="63" t="str">
        <f>IFERROR(INDEX(_Datos!B:B,MATCH(501,_Datos!$I:$I,0)),"")</f>
        <v/>
      </c>
      <c r="C508" s="63" t="str">
        <f>IFERROR(INDEX(_Datos!C:C,MATCH(501,_Datos!$I:$I,0)),"")</f>
        <v/>
      </c>
      <c r="D508" s="64" t="str">
        <f>IFERROR(INDEX(_Datos!D:D,MATCH(501,_Datos!$I:$I,0)),"")</f>
        <v/>
      </c>
      <c r="E508" s="65" t="str">
        <f>IFERROR(INDEX(_Datos!E:E,MATCH(501,_Datos!$I:$I,0)),"")</f>
        <v/>
      </c>
      <c r="F508" s="63" t="str">
        <f>IFERROR(INDEX(_Datos!F:F,MATCH(501,_Datos!$I:$I,0)),"")</f>
        <v/>
      </c>
      <c r="G508" s="63" t="str">
        <f>IFERROR(INDEX(_Datos!G:G,MATCH(501,_Datos!$I:$I,0)),"")</f>
        <v/>
      </c>
      <c r="H508" s="66" t="str">
        <f>IFERROR(INDEX(_Datos!H:H,MATCH(501,_Datos!$I:$I,0)),"")</f>
        <v/>
      </c>
    </row>
    <row r="509" spans="1:8" x14ac:dyDescent="0.2">
      <c r="A509" s="67" t="str">
        <f>IFERROR(INDEX(_Datos!A:A,MATCH(502,_Datos!$I:$I,0)),"")</f>
        <v/>
      </c>
      <c r="B509" s="67" t="str">
        <f>IFERROR(INDEX(_Datos!B:B,MATCH(502,_Datos!$I:$I,0)),"")</f>
        <v/>
      </c>
      <c r="C509" s="67" t="str">
        <f>IFERROR(INDEX(_Datos!C:C,MATCH(502,_Datos!$I:$I,0)),"")</f>
        <v/>
      </c>
      <c r="D509" s="68" t="str">
        <f>IFERROR(INDEX(_Datos!D:D,MATCH(502,_Datos!$I:$I,0)),"")</f>
        <v/>
      </c>
      <c r="E509" s="69" t="str">
        <f>IFERROR(INDEX(_Datos!E:E,MATCH(502,_Datos!$I:$I,0)),"")</f>
        <v/>
      </c>
      <c r="F509" s="67" t="str">
        <f>IFERROR(INDEX(_Datos!F:F,MATCH(502,_Datos!$I:$I,0)),"")</f>
        <v/>
      </c>
      <c r="G509" s="67" t="str">
        <f>IFERROR(INDEX(_Datos!G:G,MATCH(502,_Datos!$I:$I,0)),"")</f>
        <v/>
      </c>
      <c r="H509" s="70" t="str">
        <f>IFERROR(INDEX(_Datos!H:H,MATCH(502,_Datos!$I:$I,0)),"")</f>
        <v/>
      </c>
    </row>
    <row r="510" spans="1:8" x14ac:dyDescent="0.2">
      <c r="A510" s="63" t="str">
        <f>IFERROR(INDEX(_Datos!A:A,MATCH(503,_Datos!$I:$I,0)),"")</f>
        <v/>
      </c>
      <c r="B510" s="63" t="str">
        <f>IFERROR(INDEX(_Datos!B:B,MATCH(503,_Datos!$I:$I,0)),"")</f>
        <v/>
      </c>
      <c r="C510" s="63" t="str">
        <f>IFERROR(INDEX(_Datos!C:C,MATCH(503,_Datos!$I:$I,0)),"")</f>
        <v/>
      </c>
      <c r="D510" s="64" t="str">
        <f>IFERROR(INDEX(_Datos!D:D,MATCH(503,_Datos!$I:$I,0)),"")</f>
        <v/>
      </c>
      <c r="E510" s="65" t="str">
        <f>IFERROR(INDEX(_Datos!E:E,MATCH(503,_Datos!$I:$I,0)),"")</f>
        <v/>
      </c>
      <c r="F510" s="63" t="str">
        <f>IFERROR(INDEX(_Datos!F:F,MATCH(503,_Datos!$I:$I,0)),"")</f>
        <v/>
      </c>
      <c r="G510" s="63" t="str">
        <f>IFERROR(INDEX(_Datos!G:G,MATCH(503,_Datos!$I:$I,0)),"")</f>
        <v/>
      </c>
      <c r="H510" s="66" t="str">
        <f>IFERROR(INDEX(_Datos!H:H,MATCH(503,_Datos!$I:$I,0)),"")</f>
        <v/>
      </c>
    </row>
    <row r="511" spans="1:8" x14ac:dyDescent="0.2">
      <c r="A511" s="67" t="str">
        <f>IFERROR(INDEX(_Datos!A:A,MATCH(504,_Datos!$I:$I,0)),"")</f>
        <v/>
      </c>
      <c r="B511" s="67" t="str">
        <f>IFERROR(INDEX(_Datos!B:B,MATCH(504,_Datos!$I:$I,0)),"")</f>
        <v/>
      </c>
      <c r="C511" s="67" t="str">
        <f>IFERROR(INDEX(_Datos!C:C,MATCH(504,_Datos!$I:$I,0)),"")</f>
        <v/>
      </c>
      <c r="D511" s="68" t="str">
        <f>IFERROR(INDEX(_Datos!D:D,MATCH(504,_Datos!$I:$I,0)),"")</f>
        <v/>
      </c>
      <c r="E511" s="69" t="str">
        <f>IFERROR(INDEX(_Datos!E:E,MATCH(504,_Datos!$I:$I,0)),"")</f>
        <v/>
      </c>
      <c r="F511" s="67" t="str">
        <f>IFERROR(INDEX(_Datos!F:F,MATCH(504,_Datos!$I:$I,0)),"")</f>
        <v/>
      </c>
      <c r="G511" s="67" t="str">
        <f>IFERROR(INDEX(_Datos!G:G,MATCH(504,_Datos!$I:$I,0)),"")</f>
        <v/>
      </c>
      <c r="H511" s="70" t="str">
        <f>IFERROR(INDEX(_Datos!H:H,MATCH(504,_Datos!$I:$I,0)),"")</f>
        <v/>
      </c>
    </row>
    <row r="512" spans="1:8" x14ac:dyDescent="0.2">
      <c r="A512" s="63" t="str">
        <f>IFERROR(INDEX(_Datos!A:A,MATCH(505,_Datos!$I:$I,0)),"")</f>
        <v/>
      </c>
      <c r="B512" s="63" t="str">
        <f>IFERROR(INDEX(_Datos!B:B,MATCH(505,_Datos!$I:$I,0)),"")</f>
        <v/>
      </c>
      <c r="C512" s="63" t="str">
        <f>IFERROR(INDEX(_Datos!C:C,MATCH(505,_Datos!$I:$I,0)),"")</f>
        <v/>
      </c>
      <c r="D512" s="64" t="str">
        <f>IFERROR(INDEX(_Datos!D:D,MATCH(505,_Datos!$I:$I,0)),"")</f>
        <v/>
      </c>
      <c r="E512" s="65" t="str">
        <f>IFERROR(INDEX(_Datos!E:E,MATCH(505,_Datos!$I:$I,0)),"")</f>
        <v/>
      </c>
      <c r="F512" s="63" t="str">
        <f>IFERROR(INDEX(_Datos!F:F,MATCH(505,_Datos!$I:$I,0)),"")</f>
        <v/>
      </c>
      <c r="G512" s="63" t="str">
        <f>IFERROR(INDEX(_Datos!G:G,MATCH(505,_Datos!$I:$I,0)),"")</f>
        <v/>
      </c>
      <c r="H512" s="66" t="str">
        <f>IFERROR(INDEX(_Datos!H:H,MATCH(505,_Datos!$I:$I,0)),"")</f>
        <v/>
      </c>
    </row>
    <row r="513" spans="1:8" x14ac:dyDescent="0.2">
      <c r="A513" s="67" t="str">
        <f>IFERROR(INDEX(_Datos!A:A,MATCH(506,_Datos!$I:$I,0)),"")</f>
        <v/>
      </c>
      <c r="B513" s="67" t="str">
        <f>IFERROR(INDEX(_Datos!B:B,MATCH(506,_Datos!$I:$I,0)),"")</f>
        <v/>
      </c>
      <c r="C513" s="67" t="str">
        <f>IFERROR(INDEX(_Datos!C:C,MATCH(506,_Datos!$I:$I,0)),"")</f>
        <v/>
      </c>
      <c r="D513" s="68" t="str">
        <f>IFERROR(INDEX(_Datos!D:D,MATCH(506,_Datos!$I:$I,0)),"")</f>
        <v/>
      </c>
      <c r="E513" s="69" t="str">
        <f>IFERROR(INDEX(_Datos!E:E,MATCH(506,_Datos!$I:$I,0)),"")</f>
        <v/>
      </c>
      <c r="F513" s="67" t="str">
        <f>IFERROR(INDEX(_Datos!F:F,MATCH(506,_Datos!$I:$I,0)),"")</f>
        <v/>
      </c>
      <c r="G513" s="67" t="str">
        <f>IFERROR(INDEX(_Datos!G:G,MATCH(506,_Datos!$I:$I,0)),"")</f>
        <v/>
      </c>
      <c r="H513" s="70" t="str">
        <f>IFERROR(INDEX(_Datos!H:H,MATCH(506,_Datos!$I:$I,0)),"")</f>
        <v/>
      </c>
    </row>
    <row r="514" spans="1:8" x14ac:dyDescent="0.2">
      <c r="A514" s="63" t="str">
        <f>IFERROR(INDEX(_Datos!A:A,MATCH(507,_Datos!$I:$I,0)),"")</f>
        <v/>
      </c>
      <c r="B514" s="63" t="str">
        <f>IFERROR(INDEX(_Datos!B:B,MATCH(507,_Datos!$I:$I,0)),"")</f>
        <v/>
      </c>
      <c r="C514" s="63" t="str">
        <f>IFERROR(INDEX(_Datos!C:C,MATCH(507,_Datos!$I:$I,0)),"")</f>
        <v/>
      </c>
      <c r="D514" s="64" t="str">
        <f>IFERROR(INDEX(_Datos!D:D,MATCH(507,_Datos!$I:$I,0)),"")</f>
        <v/>
      </c>
      <c r="E514" s="65" t="str">
        <f>IFERROR(INDEX(_Datos!E:E,MATCH(507,_Datos!$I:$I,0)),"")</f>
        <v/>
      </c>
      <c r="F514" s="63" t="str">
        <f>IFERROR(INDEX(_Datos!F:F,MATCH(507,_Datos!$I:$I,0)),"")</f>
        <v/>
      </c>
      <c r="G514" s="63" t="str">
        <f>IFERROR(INDEX(_Datos!G:G,MATCH(507,_Datos!$I:$I,0)),"")</f>
        <v/>
      </c>
      <c r="H514" s="66" t="str">
        <f>IFERROR(INDEX(_Datos!H:H,MATCH(507,_Datos!$I:$I,0)),"")</f>
        <v/>
      </c>
    </row>
    <row r="515" spans="1:8" x14ac:dyDescent="0.2">
      <c r="A515" s="67" t="str">
        <f>IFERROR(INDEX(_Datos!A:A,MATCH(508,_Datos!$I:$I,0)),"")</f>
        <v/>
      </c>
      <c r="B515" s="67" t="str">
        <f>IFERROR(INDEX(_Datos!B:B,MATCH(508,_Datos!$I:$I,0)),"")</f>
        <v/>
      </c>
      <c r="C515" s="67" t="str">
        <f>IFERROR(INDEX(_Datos!C:C,MATCH(508,_Datos!$I:$I,0)),"")</f>
        <v/>
      </c>
      <c r="D515" s="68" t="str">
        <f>IFERROR(INDEX(_Datos!D:D,MATCH(508,_Datos!$I:$I,0)),"")</f>
        <v/>
      </c>
      <c r="E515" s="69" t="str">
        <f>IFERROR(INDEX(_Datos!E:E,MATCH(508,_Datos!$I:$I,0)),"")</f>
        <v/>
      </c>
      <c r="F515" s="67" t="str">
        <f>IFERROR(INDEX(_Datos!F:F,MATCH(508,_Datos!$I:$I,0)),"")</f>
        <v/>
      </c>
      <c r="G515" s="67" t="str">
        <f>IFERROR(INDEX(_Datos!G:G,MATCH(508,_Datos!$I:$I,0)),"")</f>
        <v/>
      </c>
      <c r="H515" s="70" t="str">
        <f>IFERROR(INDEX(_Datos!H:H,MATCH(508,_Datos!$I:$I,0)),"")</f>
        <v/>
      </c>
    </row>
    <row r="516" spans="1:8" x14ac:dyDescent="0.2">
      <c r="A516" s="63" t="str">
        <f>IFERROR(INDEX(_Datos!A:A,MATCH(509,_Datos!$I:$I,0)),"")</f>
        <v/>
      </c>
      <c r="B516" s="63" t="str">
        <f>IFERROR(INDEX(_Datos!B:B,MATCH(509,_Datos!$I:$I,0)),"")</f>
        <v/>
      </c>
      <c r="C516" s="63" t="str">
        <f>IFERROR(INDEX(_Datos!C:C,MATCH(509,_Datos!$I:$I,0)),"")</f>
        <v/>
      </c>
      <c r="D516" s="64" t="str">
        <f>IFERROR(INDEX(_Datos!D:D,MATCH(509,_Datos!$I:$I,0)),"")</f>
        <v/>
      </c>
      <c r="E516" s="65" t="str">
        <f>IFERROR(INDEX(_Datos!E:E,MATCH(509,_Datos!$I:$I,0)),"")</f>
        <v/>
      </c>
      <c r="F516" s="63" t="str">
        <f>IFERROR(INDEX(_Datos!F:F,MATCH(509,_Datos!$I:$I,0)),"")</f>
        <v/>
      </c>
      <c r="G516" s="63" t="str">
        <f>IFERROR(INDEX(_Datos!G:G,MATCH(509,_Datos!$I:$I,0)),"")</f>
        <v/>
      </c>
      <c r="H516" s="66" t="str">
        <f>IFERROR(INDEX(_Datos!H:H,MATCH(509,_Datos!$I:$I,0)),"")</f>
        <v/>
      </c>
    </row>
    <row r="517" spans="1:8" x14ac:dyDescent="0.2">
      <c r="A517" s="67" t="str">
        <f>IFERROR(INDEX(_Datos!A:A,MATCH(510,_Datos!$I:$I,0)),"")</f>
        <v/>
      </c>
      <c r="B517" s="67" t="str">
        <f>IFERROR(INDEX(_Datos!B:B,MATCH(510,_Datos!$I:$I,0)),"")</f>
        <v/>
      </c>
      <c r="C517" s="67" t="str">
        <f>IFERROR(INDEX(_Datos!C:C,MATCH(510,_Datos!$I:$I,0)),"")</f>
        <v/>
      </c>
      <c r="D517" s="68" t="str">
        <f>IFERROR(INDEX(_Datos!D:D,MATCH(510,_Datos!$I:$I,0)),"")</f>
        <v/>
      </c>
      <c r="E517" s="69" t="str">
        <f>IFERROR(INDEX(_Datos!E:E,MATCH(510,_Datos!$I:$I,0)),"")</f>
        <v/>
      </c>
      <c r="F517" s="67" t="str">
        <f>IFERROR(INDEX(_Datos!F:F,MATCH(510,_Datos!$I:$I,0)),"")</f>
        <v/>
      </c>
      <c r="G517" s="67" t="str">
        <f>IFERROR(INDEX(_Datos!G:G,MATCH(510,_Datos!$I:$I,0)),"")</f>
        <v/>
      </c>
      <c r="H517" s="70" t="str">
        <f>IFERROR(INDEX(_Datos!H:H,MATCH(510,_Datos!$I:$I,0)),"")</f>
        <v/>
      </c>
    </row>
    <row r="518" spans="1:8" x14ac:dyDescent="0.2">
      <c r="A518" s="63" t="str">
        <f>IFERROR(INDEX(_Datos!A:A,MATCH(511,_Datos!$I:$I,0)),"")</f>
        <v/>
      </c>
      <c r="B518" s="63" t="str">
        <f>IFERROR(INDEX(_Datos!B:B,MATCH(511,_Datos!$I:$I,0)),"")</f>
        <v/>
      </c>
      <c r="C518" s="63" t="str">
        <f>IFERROR(INDEX(_Datos!C:C,MATCH(511,_Datos!$I:$I,0)),"")</f>
        <v/>
      </c>
      <c r="D518" s="64" t="str">
        <f>IFERROR(INDEX(_Datos!D:D,MATCH(511,_Datos!$I:$I,0)),"")</f>
        <v/>
      </c>
      <c r="E518" s="65" t="str">
        <f>IFERROR(INDEX(_Datos!E:E,MATCH(511,_Datos!$I:$I,0)),"")</f>
        <v/>
      </c>
      <c r="F518" s="63" t="str">
        <f>IFERROR(INDEX(_Datos!F:F,MATCH(511,_Datos!$I:$I,0)),"")</f>
        <v/>
      </c>
      <c r="G518" s="63" t="str">
        <f>IFERROR(INDEX(_Datos!G:G,MATCH(511,_Datos!$I:$I,0)),"")</f>
        <v/>
      </c>
      <c r="H518" s="66" t="str">
        <f>IFERROR(INDEX(_Datos!H:H,MATCH(511,_Datos!$I:$I,0)),"")</f>
        <v/>
      </c>
    </row>
    <row r="519" spans="1:8" x14ac:dyDescent="0.2">
      <c r="A519" s="67" t="str">
        <f>IFERROR(INDEX(_Datos!A:A,MATCH(512,_Datos!$I:$I,0)),"")</f>
        <v/>
      </c>
      <c r="B519" s="67" t="str">
        <f>IFERROR(INDEX(_Datos!B:B,MATCH(512,_Datos!$I:$I,0)),"")</f>
        <v/>
      </c>
      <c r="C519" s="67" t="str">
        <f>IFERROR(INDEX(_Datos!C:C,MATCH(512,_Datos!$I:$I,0)),"")</f>
        <v/>
      </c>
      <c r="D519" s="68" t="str">
        <f>IFERROR(INDEX(_Datos!D:D,MATCH(512,_Datos!$I:$I,0)),"")</f>
        <v/>
      </c>
      <c r="E519" s="69" t="str">
        <f>IFERROR(INDEX(_Datos!E:E,MATCH(512,_Datos!$I:$I,0)),"")</f>
        <v/>
      </c>
      <c r="F519" s="67" t="str">
        <f>IFERROR(INDEX(_Datos!F:F,MATCH(512,_Datos!$I:$I,0)),"")</f>
        <v/>
      </c>
      <c r="G519" s="67" t="str">
        <f>IFERROR(INDEX(_Datos!G:G,MATCH(512,_Datos!$I:$I,0)),"")</f>
        <v/>
      </c>
      <c r="H519" s="70" t="str">
        <f>IFERROR(INDEX(_Datos!H:H,MATCH(512,_Datos!$I:$I,0)),"")</f>
        <v/>
      </c>
    </row>
    <row r="520" spans="1:8" x14ac:dyDescent="0.2">
      <c r="A520" s="63" t="str">
        <f>IFERROR(INDEX(_Datos!A:A,MATCH(513,_Datos!$I:$I,0)),"")</f>
        <v/>
      </c>
      <c r="B520" s="63" t="str">
        <f>IFERROR(INDEX(_Datos!B:B,MATCH(513,_Datos!$I:$I,0)),"")</f>
        <v/>
      </c>
      <c r="C520" s="63" t="str">
        <f>IFERROR(INDEX(_Datos!C:C,MATCH(513,_Datos!$I:$I,0)),"")</f>
        <v/>
      </c>
      <c r="D520" s="64" t="str">
        <f>IFERROR(INDEX(_Datos!D:D,MATCH(513,_Datos!$I:$I,0)),"")</f>
        <v/>
      </c>
      <c r="E520" s="65" t="str">
        <f>IFERROR(INDEX(_Datos!E:E,MATCH(513,_Datos!$I:$I,0)),"")</f>
        <v/>
      </c>
      <c r="F520" s="63" t="str">
        <f>IFERROR(INDEX(_Datos!F:F,MATCH(513,_Datos!$I:$I,0)),"")</f>
        <v/>
      </c>
      <c r="G520" s="63" t="str">
        <f>IFERROR(INDEX(_Datos!G:G,MATCH(513,_Datos!$I:$I,0)),"")</f>
        <v/>
      </c>
      <c r="H520" s="66" t="str">
        <f>IFERROR(INDEX(_Datos!H:H,MATCH(513,_Datos!$I:$I,0)),"")</f>
        <v/>
      </c>
    </row>
    <row r="521" spans="1:8" x14ac:dyDescent="0.2">
      <c r="A521" s="67" t="str">
        <f>IFERROR(INDEX(_Datos!A:A,MATCH(514,_Datos!$I:$I,0)),"")</f>
        <v/>
      </c>
      <c r="B521" s="67" t="str">
        <f>IFERROR(INDEX(_Datos!B:B,MATCH(514,_Datos!$I:$I,0)),"")</f>
        <v/>
      </c>
      <c r="C521" s="67" t="str">
        <f>IFERROR(INDEX(_Datos!C:C,MATCH(514,_Datos!$I:$I,0)),"")</f>
        <v/>
      </c>
      <c r="D521" s="68" t="str">
        <f>IFERROR(INDEX(_Datos!D:D,MATCH(514,_Datos!$I:$I,0)),"")</f>
        <v/>
      </c>
      <c r="E521" s="69" t="str">
        <f>IFERROR(INDEX(_Datos!E:E,MATCH(514,_Datos!$I:$I,0)),"")</f>
        <v/>
      </c>
      <c r="F521" s="67" t="str">
        <f>IFERROR(INDEX(_Datos!F:F,MATCH(514,_Datos!$I:$I,0)),"")</f>
        <v/>
      </c>
      <c r="G521" s="67" t="str">
        <f>IFERROR(INDEX(_Datos!G:G,MATCH(514,_Datos!$I:$I,0)),"")</f>
        <v/>
      </c>
      <c r="H521" s="70" t="str">
        <f>IFERROR(INDEX(_Datos!H:H,MATCH(514,_Datos!$I:$I,0)),"")</f>
        <v/>
      </c>
    </row>
    <row r="522" spans="1:8" x14ac:dyDescent="0.2">
      <c r="A522" s="63" t="str">
        <f>IFERROR(INDEX(_Datos!A:A,MATCH(515,_Datos!$I:$I,0)),"")</f>
        <v/>
      </c>
      <c r="B522" s="63" t="str">
        <f>IFERROR(INDEX(_Datos!B:B,MATCH(515,_Datos!$I:$I,0)),"")</f>
        <v/>
      </c>
      <c r="C522" s="63" t="str">
        <f>IFERROR(INDEX(_Datos!C:C,MATCH(515,_Datos!$I:$I,0)),"")</f>
        <v/>
      </c>
      <c r="D522" s="64" t="str">
        <f>IFERROR(INDEX(_Datos!D:D,MATCH(515,_Datos!$I:$I,0)),"")</f>
        <v/>
      </c>
      <c r="E522" s="65" t="str">
        <f>IFERROR(INDEX(_Datos!E:E,MATCH(515,_Datos!$I:$I,0)),"")</f>
        <v/>
      </c>
      <c r="F522" s="63" t="str">
        <f>IFERROR(INDEX(_Datos!F:F,MATCH(515,_Datos!$I:$I,0)),"")</f>
        <v/>
      </c>
      <c r="G522" s="63" t="str">
        <f>IFERROR(INDEX(_Datos!G:G,MATCH(515,_Datos!$I:$I,0)),"")</f>
        <v/>
      </c>
      <c r="H522" s="66" t="str">
        <f>IFERROR(INDEX(_Datos!H:H,MATCH(515,_Datos!$I:$I,0)),"")</f>
        <v/>
      </c>
    </row>
    <row r="523" spans="1:8" x14ac:dyDescent="0.2">
      <c r="A523" s="67" t="str">
        <f>IFERROR(INDEX(_Datos!A:A,MATCH(516,_Datos!$I:$I,0)),"")</f>
        <v/>
      </c>
      <c r="B523" s="67" t="str">
        <f>IFERROR(INDEX(_Datos!B:B,MATCH(516,_Datos!$I:$I,0)),"")</f>
        <v/>
      </c>
      <c r="C523" s="67" t="str">
        <f>IFERROR(INDEX(_Datos!C:C,MATCH(516,_Datos!$I:$I,0)),"")</f>
        <v/>
      </c>
      <c r="D523" s="68" t="str">
        <f>IFERROR(INDEX(_Datos!D:D,MATCH(516,_Datos!$I:$I,0)),"")</f>
        <v/>
      </c>
      <c r="E523" s="69" t="str">
        <f>IFERROR(INDEX(_Datos!E:E,MATCH(516,_Datos!$I:$I,0)),"")</f>
        <v/>
      </c>
      <c r="F523" s="67" t="str">
        <f>IFERROR(INDEX(_Datos!F:F,MATCH(516,_Datos!$I:$I,0)),"")</f>
        <v/>
      </c>
      <c r="G523" s="67" t="str">
        <f>IFERROR(INDEX(_Datos!G:G,MATCH(516,_Datos!$I:$I,0)),"")</f>
        <v/>
      </c>
      <c r="H523" s="70" t="str">
        <f>IFERROR(INDEX(_Datos!H:H,MATCH(516,_Datos!$I:$I,0)),"")</f>
        <v/>
      </c>
    </row>
    <row r="524" spans="1:8" x14ac:dyDescent="0.2">
      <c r="A524" s="63" t="str">
        <f>IFERROR(INDEX(_Datos!A:A,MATCH(517,_Datos!$I:$I,0)),"")</f>
        <v/>
      </c>
      <c r="B524" s="63" t="str">
        <f>IFERROR(INDEX(_Datos!B:B,MATCH(517,_Datos!$I:$I,0)),"")</f>
        <v/>
      </c>
      <c r="C524" s="63" t="str">
        <f>IFERROR(INDEX(_Datos!C:C,MATCH(517,_Datos!$I:$I,0)),"")</f>
        <v/>
      </c>
      <c r="D524" s="64" t="str">
        <f>IFERROR(INDEX(_Datos!D:D,MATCH(517,_Datos!$I:$I,0)),"")</f>
        <v/>
      </c>
      <c r="E524" s="65" t="str">
        <f>IFERROR(INDEX(_Datos!E:E,MATCH(517,_Datos!$I:$I,0)),"")</f>
        <v/>
      </c>
      <c r="F524" s="63" t="str">
        <f>IFERROR(INDEX(_Datos!F:F,MATCH(517,_Datos!$I:$I,0)),"")</f>
        <v/>
      </c>
      <c r="G524" s="63" t="str">
        <f>IFERROR(INDEX(_Datos!G:G,MATCH(517,_Datos!$I:$I,0)),"")</f>
        <v/>
      </c>
      <c r="H524" s="66" t="str">
        <f>IFERROR(INDEX(_Datos!H:H,MATCH(517,_Datos!$I:$I,0)),"")</f>
        <v/>
      </c>
    </row>
    <row r="525" spans="1:8" x14ac:dyDescent="0.2">
      <c r="A525" s="67" t="str">
        <f>IFERROR(INDEX(_Datos!A:A,MATCH(518,_Datos!$I:$I,0)),"")</f>
        <v/>
      </c>
      <c r="B525" s="67" t="str">
        <f>IFERROR(INDEX(_Datos!B:B,MATCH(518,_Datos!$I:$I,0)),"")</f>
        <v/>
      </c>
      <c r="C525" s="67" t="str">
        <f>IFERROR(INDEX(_Datos!C:C,MATCH(518,_Datos!$I:$I,0)),"")</f>
        <v/>
      </c>
      <c r="D525" s="68" t="str">
        <f>IFERROR(INDEX(_Datos!D:D,MATCH(518,_Datos!$I:$I,0)),"")</f>
        <v/>
      </c>
      <c r="E525" s="69" t="str">
        <f>IFERROR(INDEX(_Datos!E:E,MATCH(518,_Datos!$I:$I,0)),"")</f>
        <v/>
      </c>
      <c r="F525" s="67" t="str">
        <f>IFERROR(INDEX(_Datos!F:F,MATCH(518,_Datos!$I:$I,0)),"")</f>
        <v/>
      </c>
      <c r="G525" s="67" t="str">
        <f>IFERROR(INDEX(_Datos!G:G,MATCH(518,_Datos!$I:$I,0)),"")</f>
        <v/>
      </c>
      <c r="H525" s="70" t="str">
        <f>IFERROR(INDEX(_Datos!H:H,MATCH(518,_Datos!$I:$I,0)),"")</f>
        <v/>
      </c>
    </row>
    <row r="526" spans="1:8" x14ac:dyDescent="0.2">
      <c r="A526" s="63" t="str">
        <f>IFERROR(INDEX(_Datos!A:A,MATCH(519,_Datos!$I:$I,0)),"")</f>
        <v/>
      </c>
      <c r="B526" s="63" t="str">
        <f>IFERROR(INDEX(_Datos!B:B,MATCH(519,_Datos!$I:$I,0)),"")</f>
        <v/>
      </c>
      <c r="C526" s="63" t="str">
        <f>IFERROR(INDEX(_Datos!C:C,MATCH(519,_Datos!$I:$I,0)),"")</f>
        <v/>
      </c>
      <c r="D526" s="64" t="str">
        <f>IFERROR(INDEX(_Datos!D:D,MATCH(519,_Datos!$I:$I,0)),"")</f>
        <v/>
      </c>
      <c r="E526" s="65" t="str">
        <f>IFERROR(INDEX(_Datos!E:E,MATCH(519,_Datos!$I:$I,0)),"")</f>
        <v/>
      </c>
      <c r="F526" s="63" t="str">
        <f>IFERROR(INDEX(_Datos!F:F,MATCH(519,_Datos!$I:$I,0)),"")</f>
        <v/>
      </c>
      <c r="G526" s="63" t="str">
        <f>IFERROR(INDEX(_Datos!G:G,MATCH(519,_Datos!$I:$I,0)),"")</f>
        <v/>
      </c>
      <c r="H526" s="66" t="str">
        <f>IFERROR(INDEX(_Datos!H:H,MATCH(519,_Datos!$I:$I,0)),"")</f>
        <v/>
      </c>
    </row>
    <row r="527" spans="1:8" x14ac:dyDescent="0.2">
      <c r="A527" s="67" t="str">
        <f>IFERROR(INDEX(_Datos!A:A,MATCH(520,_Datos!$I:$I,0)),"")</f>
        <v/>
      </c>
      <c r="B527" s="67" t="str">
        <f>IFERROR(INDEX(_Datos!B:B,MATCH(520,_Datos!$I:$I,0)),"")</f>
        <v/>
      </c>
      <c r="C527" s="67" t="str">
        <f>IFERROR(INDEX(_Datos!C:C,MATCH(520,_Datos!$I:$I,0)),"")</f>
        <v/>
      </c>
      <c r="D527" s="68" t="str">
        <f>IFERROR(INDEX(_Datos!D:D,MATCH(520,_Datos!$I:$I,0)),"")</f>
        <v/>
      </c>
      <c r="E527" s="69" t="str">
        <f>IFERROR(INDEX(_Datos!E:E,MATCH(520,_Datos!$I:$I,0)),"")</f>
        <v/>
      </c>
      <c r="F527" s="67" t="str">
        <f>IFERROR(INDEX(_Datos!F:F,MATCH(520,_Datos!$I:$I,0)),"")</f>
        <v/>
      </c>
      <c r="G527" s="67" t="str">
        <f>IFERROR(INDEX(_Datos!G:G,MATCH(520,_Datos!$I:$I,0)),"")</f>
        <v/>
      </c>
      <c r="H527" s="70" t="str">
        <f>IFERROR(INDEX(_Datos!H:H,MATCH(520,_Datos!$I:$I,0)),"")</f>
        <v/>
      </c>
    </row>
    <row r="528" spans="1:8" x14ac:dyDescent="0.2">
      <c r="A528" s="63" t="str">
        <f>IFERROR(INDEX(_Datos!A:A,MATCH(521,_Datos!$I:$I,0)),"")</f>
        <v/>
      </c>
      <c r="B528" s="63" t="str">
        <f>IFERROR(INDEX(_Datos!B:B,MATCH(521,_Datos!$I:$I,0)),"")</f>
        <v/>
      </c>
      <c r="C528" s="63" t="str">
        <f>IFERROR(INDEX(_Datos!C:C,MATCH(521,_Datos!$I:$I,0)),"")</f>
        <v/>
      </c>
      <c r="D528" s="64" t="str">
        <f>IFERROR(INDEX(_Datos!D:D,MATCH(521,_Datos!$I:$I,0)),"")</f>
        <v/>
      </c>
      <c r="E528" s="65" t="str">
        <f>IFERROR(INDEX(_Datos!E:E,MATCH(521,_Datos!$I:$I,0)),"")</f>
        <v/>
      </c>
      <c r="F528" s="63" t="str">
        <f>IFERROR(INDEX(_Datos!F:F,MATCH(521,_Datos!$I:$I,0)),"")</f>
        <v/>
      </c>
      <c r="G528" s="63" t="str">
        <f>IFERROR(INDEX(_Datos!G:G,MATCH(521,_Datos!$I:$I,0)),"")</f>
        <v/>
      </c>
      <c r="H528" s="66" t="str">
        <f>IFERROR(INDEX(_Datos!H:H,MATCH(521,_Datos!$I:$I,0)),"")</f>
        <v/>
      </c>
    </row>
    <row r="529" spans="1:8" x14ac:dyDescent="0.2">
      <c r="A529" s="67" t="str">
        <f>IFERROR(INDEX(_Datos!A:A,MATCH(522,_Datos!$I:$I,0)),"")</f>
        <v/>
      </c>
      <c r="B529" s="67" t="str">
        <f>IFERROR(INDEX(_Datos!B:B,MATCH(522,_Datos!$I:$I,0)),"")</f>
        <v/>
      </c>
      <c r="C529" s="67" t="str">
        <f>IFERROR(INDEX(_Datos!C:C,MATCH(522,_Datos!$I:$I,0)),"")</f>
        <v/>
      </c>
      <c r="D529" s="68" t="str">
        <f>IFERROR(INDEX(_Datos!D:D,MATCH(522,_Datos!$I:$I,0)),"")</f>
        <v/>
      </c>
      <c r="E529" s="69" t="str">
        <f>IFERROR(INDEX(_Datos!E:E,MATCH(522,_Datos!$I:$I,0)),"")</f>
        <v/>
      </c>
      <c r="F529" s="67" t="str">
        <f>IFERROR(INDEX(_Datos!F:F,MATCH(522,_Datos!$I:$I,0)),"")</f>
        <v/>
      </c>
      <c r="G529" s="67" t="str">
        <f>IFERROR(INDEX(_Datos!G:G,MATCH(522,_Datos!$I:$I,0)),"")</f>
        <v/>
      </c>
      <c r="H529" s="70" t="str">
        <f>IFERROR(INDEX(_Datos!H:H,MATCH(522,_Datos!$I:$I,0)),"")</f>
        <v/>
      </c>
    </row>
    <row r="530" spans="1:8" x14ac:dyDescent="0.2">
      <c r="A530" s="63" t="str">
        <f>IFERROR(INDEX(_Datos!A:A,MATCH(523,_Datos!$I:$I,0)),"")</f>
        <v/>
      </c>
      <c r="B530" s="63" t="str">
        <f>IFERROR(INDEX(_Datos!B:B,MATCH(523,_Datos!$I:$I,0)),"")</f>
        <v/>
      </c>
      <c r="C530" s="63" t="str">
        <f>IFERROR(INDEX(_Datos!C:C,MATCH(523,_Datos!$I:$I,0)),"")</f>
        <v/>
      </c>
      <c r="D530" s="64" t="str">
        <f>IFERROR(INDEX(_Datos!D:D,MATCH(523,_Datos!$I:$I,0)),"")</f>
        <v/>
      </c>
      <c r="E530" s="65" t="str">
        <f>IFERROR(INDEX(_Datos!E:E,MATCH(523,_Datos!$I:$I,0)),"")</f>
        <v/>
      </c>
      <c r="F530" s="63" t="str">
        <f>IFERROR(INDEX(_Datos!F:F,MATCH(523,_Datos!$I:$I,0)),"")</f>
        <v/>
      </c>
      <c r="G530" s="63" t="str">
        <f>IFERROR(INDEX(_Datos!G:G,MATCH(523,_Datos!$I:$I,0)),"")</f>
        <v/>
      </c>
      <c r="H530" s="66" t="str">
        <f>IFERROR(INDEX(_Datos!H:H,MATCH(523,_Datos!$I:$I,0)),"")</f>
        <v/>
      </c>
    </row>
    <row r="531" spans="1:8" x14ac:dyDescent="0.2">
      <c r="A531" s="67" t="str">
        <f>IFERROR(INDEX(_Datos!A:A,MATCH(524,_Datos!$I:$I,0)),"")</f>
        <v/>
      </c>
      <c r="B531" s="67" t="str">
        <f>IFERROR(INDEX(_Datos!B:B,MATCH(524,_Datos!$I:$I,0)),"")</f>
        <v/>
      </c>
      <c r="C531" s="67" t="str">
        <f>IFERROR(INDEX(_Datos!C:C,MATCH(524,_Datos!$I:$I,0)),"")</f>
        <v/>
      </c>
      <c r="D531" s="68" t="str">
        <f>IFERROR(INDEX(_Datos!D:D,MATCH(524,_Datos!$I:$I,0)),"")</f>
        <v/>
      </c>
      <c r="E531" s="69" t="str">
        <f>IFERROR(INDEX(_Datos!E:E,MATCH(524,_Datos!$I:$I,0)),"")</f>
        <v/>
      </c>
      <c r="F531" s="67" t="str">
        <f>IFERROR(INDEX(_Datos!F:F,MATCH(524,_Datos!$I:$I,0)),"")</f>
        <v/>
      </c>
      <c r="G531" s="67" t="str">
        <f>IFERROR(INDEX(_Datos!G:G,MATCH(524,_Datos!$I:$I,0)),"")</f>
        <v/>
      </c>
      <c r="H531" s="70" t="str">
        <f>IFERROR(INDEX(_Datos!H:H,MATCH(524,_Datos!$I:$I,0)),"")</f>
        <v/>
      </c>
    </row>
    <row r="532" spans="1:8" x14ac:dyDescent="0.2">
      <c r="A532" s="63" t="str">
        <f>IFERROR(INDEX(_Datos!A:A,MATCH(525,_Datos!$I:$I,0)),"")</f>
        <v/>
      </c>
      <c r="B532" s="63" t="str">
        <f>IFERROR(INDEX(_Datos!B:B,MATCH(525,_Datos!$I:$I,0)),"")</f>
        <v/>
      </c>
      <c r="C532" s="63" t="str">
        <f>IFERROR(INDEX(_Datos!C:C,MATCH(525,_Datos!$I:$I,0)),"")</f>
        <v/>
      </c>
      <c r="D532" s="64" t="str">
        <f>IFERROR(INDEX(_Datos!D:D,MATCH(525,_Datos!$I:$I,0)),"")</f>
        <v/>
      </c>
      <c r="E532" s="65" t="str">
        <f>IFERROR(INDEX(_Datos!E:E,MATCH(525,_Datos!$I:$I,0)),"")</f>
        <v/>
      </c>
      <c r="F532" s="63" t="str">
        <f>IFERROR(INDEX(_Datos!F:F,MATCH(525,_Datos!$I:$I,0)),"")</f>
        <v/>
      </c>
      <c r="G532" s="63" t="str">
        <f>IFERROR(INDEX(_Datos!G:G,MATCH(525,_Datos!$I:$I,0)),"")</f>
        <v/>
      </c>
      <c r="H532" s="66" t="str">
        <f>IFERROR(INDEX(_Datos!H:H,MATCH(525,_Datos!$I:$I,0)),"")</f>
        <v/>
      </c>
    </row>
    <row r="533" spans="1:8" x14ac:dyDescent="0.2">
      <c r="A533" s="67" t="str">
        <f>IFERROR(INDEX(_Datos!A:A,MATCH(526,_Datos!$I:$I,0)),"")</f>
        <v/>
      </c>
      <c r="B533" s="67" t="str">
        <f>IFERROR(INDEX(_Datos!B:B,MATCH(526,_Datos!$I:$I,0)),"")</f>
        <v/>
      </c>
      <c r="C533" s="67" t="str">
        <f>IFERROR(INDEX(_Datos!C:C,MATCH(526,_Datos!$I:$I,0)),"")</f>
        <v/>
      </c>
      <c r="D533" s="68" t="str">
        <f>IFERROR(INDEX(_Datos!D:D,MATCH(526,_Datos!$I:$I,0)),"")</f>
        <v/>
      </c>
      <c r="E533" s="69" t="str">
        <f>IFERROR(INDEX(_Datos!E:E,MATCH(526,_Datos!$I:$I,0)),"")</f>
        <v/>
      </c>
      <c r="F533" s="67" t="str">
        <f>IFERROR(INDEX(_Datos!F:F,MATCH(526,_Datos!$I:$I,0)),"")</f>
        <v/>
      </c>
      <c r="G533" s="67" t="str">
        <f>IFERROR(INDEX(_Datos!G:G,MATCH(526,_Datos!$I:$I,0)),"")</f>
        <v/>
      </c>
      <c r="H533" s="70" t="str">
        <f>IFERROR(INDEX(_Datos!H:H,MATCH(526,_Datos!$I:$I,0)),"")</f>
        <v/>
      </c>
    </row>
    <row r="534" spans="1:8" x14ac:dyDescent="0.2">
      <c r="A534" s="63" t="str">
        <f>IFERROR(INDEX(_Datos!A:A,MATCH(527,_Datos!$I:$I,0)),"")</f>
        <v/>
      </c>
      <c r="B534" s="63" t="str">
        <f>IFERROR(INDEX(_Datos!B:B,MATCH(527,_Datos!$I:$I,0)),"")</f>
        <v/>
      </c>
      <c r="C534" s="63" t="str">
        <f>IFERROR(INDEX(_Datos!C:C,MATCH(527,_Datos!$I:$I,0)),"")</f>
        <v/>
      </c>
      <c r="D534" s="64" t="str">
        <f>IFERROR(INDEX(_Datos!D:D,MATCH(527,_Datos!$I:$I,0)),"")</f>
        <v/>
      </c>
      <c r="E534" s="65" t="str">
        <f>IFERROR(INDEX(_Datos!E:E,MATCH(527,_Datos!$I:$I,0)),"")</f>
        <v/>
      </c>
      <c r="F534" s="63" t="str">
        <f>IFERROR(INDEX(_Datos!F:F,MATCH(527,_Datos!$I:$I,0)),"")</f>
        <v/>
      </c>
      <c r="G534" s="63" t="str">
        <f>IFERROR(INDEX(_Datos!G:G,MATCH(527,_Datos!$I:$I,0)),"")</f>
        <v/>
      </c>
      <c r="H534" s="66" t="str">
        <f>IFERROR(INDEX(_Datos!H:H,MATCH(527,_Datos!$I:$I,0)),"")</f>
        <v/>
      </c>
    </row>
    <row r="535" spans="1:8" x14ac:dyDescent="0.2">
      <c r="A535" s="67" t="str">
        <f>IFERROR(INDEX(_Datos!A:A,MATCH(528,_Datos!$I:$I,0)),"")</f>
        <v/>
      </c>
      <c r="B535" s="67" t="str">
        <f>IFERROR(INDEX(_Datos!B:B,MATCH(528,_Datos!$I:$I,0)),"")</f>
        <v/>
      </c>
      <c r="C535" s="67" t="str">
        <f>IFERROR(INDEX(_Datos!C:C,MATCH(528,_Datos!$I:$I,0)),"")</f>
        <v/>
      </c>
      <c r="D535" s="68" t="str">
        <f>IFERROR(INDEX(_Datos!D:D,MATCH(528,_Datos!$I:$I,0)),"")</f>
        <v/>
      </c>
      <c r="E535" s="69" t="str">
        <f>IFERROR(INDEX(_Datos!E:E,MATCH(528,_Datos!$I:$I,0)),"")</f>
        <v/>
      </c>
      <c r="F535" s="67" t="str">
        <f>IFERROR(INDEX(_Datos!F:F,MATCH(528,_Datos!$I:$I,0)),"")</f>
        <v/>
      </c>
      <c r="G535" s="67" t="str">
        <f>IFERROR(INDEX(_Datos!G:G,MATCH(528,_Datos!$I:$I,0)),"")</f>
        <v/>
      </c>
      <c r="H535" s="70" t="str">
        <f>IFERROR(INDEX(_Datos!H:H,MATCH(528,_Datos!$I:$I,0)),"")</f>
        <v/>
      </c>
    </row>
    <row r="536" spans="1:8" x14ac:dyDescent="0.2">
      <c r="A536" s="63" t="str">
        <f>IFERROR(INDEX(_Datos!A:A,MATCH(529,_Datos!$I:$I,0)),"")</f>
        <v/>
      </c>
      <c r="B536" s="63" t="str">
        <f>IFERROR(INDEX(_Datos!B:B,MATCH(529,_Datos!$I:$I,0)),"")</f>
        <v/>
      </c>
      <c r="C536" s="63" t="str">
        <f>IFERROR(INDEX(_Datos!C:C,MATCH(529,_Datos!$I:$I,0)),"")</f>
        <v/>
      </c>
      <c r="D536" s="64" t="str">
        <f>IFERROR(INDEX(_Datos!D:D,MATCH(529,_Datos!$I:$I,0)),"")</f>
        <v/>
      </c>
      <c r="E536" s="65" t="str">
        <f>IFERROR(INDEX(_Datos!E:E,MATCH(529,_Datos!$I:$I,0)),"")</f>
        <v/>
      </c>
      <c r="F536" s="63" t="str">
        <f>IFERROR(INDEX(_Datos!F:F,MATCH(529,_Datos!$I:$I,0)),"")</f>
        <v/>
      </c>
      <c r="G536" s="63" t="str">
        <f>IFERROR(INDEX(_Datos!G:G,MATCH(529,_Datos!$I:$I,0)),"")</f>
        <v/>
      </c>
      <c r="H536" s="66" t="str">
        <f>IFERROR(INDEX(_Datos!H:H,MATCH(529,_Datos!$I:$I,0)),"")</f>
        <v/>
      </c>
    </row>
    <row r="537" spans="1:8" x14ac:dyDescent="0.2">
      <c r="A537" s="67" t="str">
        <f>IFERROR(INDEX(_Datos!A:A,MATCH(530,_Datos!$I:$I,0)),"")</f>
        <v/>
      </c>
      <c r="B537" s="67" t="str">
        <f>IFERROR(INDEX(_Datos!B:B,MATCH(530,_Datos!$I:$I,0)),"")</f>
        <v/>
      </c>
      <c r="C537" s="67" t="str">
        <f>IFERROR(INDEX(_Datos!C:C,MATCH(530,_Datos!$I:$I,0)),"")</f>
        <v/>
      </c>
      <c r="D537" s="68" t="str">
        <f>IFERROR(INDEX(_Datos!D:D,MATCH(530,_Datos!$I:$I,0)),"")</f>
        <v/>
      </c>
      <c r="E537" s="69" t="str">
        <f>IFERROR(INDEX(_Datos!E:E,MATCH(530,_Datos!$I:$I,0)),"")</f>
        <v/>
      </c>
      <c r="F537" s="67" t="str">
        <f>IFERROR(INDEX(_Datos!F:F,MATCH(530,_Datos!$I:$I,0)),"")</f>
        <v/>
      </c>
      <c r="G537" s="67" t="str">
        <f>IFERROR(INDEX(_Datos!G:G,MATCH(530,_Datos!$I:$I,0)),"")</f>
        <v/>
      </c>
      <c r="H537" s="70" t="str">
        <f>IFERROR(INDEX(_Datos!H:H,MATCH(530,_Datos!$I:$I,0)),"")</f>
        <v/>
      </c>
    </row>
    <row r="538" spans="1:8" x14ac:dyDescent="0.2">
      <c r="A538" s="63" t="str">
        <f>IFERROR(INDEX(_Datos!A:A,MATCH(531,_Datos!$I:$I,0)),"")</f>
        <v/>
      </c>
      <c r="B538" s="63" t="str">
        <f>IFERROR(INDEX(_Datos!B:B,MATCH(531,_Datos!$I:$I,0)),"")</f>
        <v/>
      </c>
      <c r="C538" s="63" t="str">
        <f>IFERROR(INDEX(_Datos!C:C,MATCH(531,_Datos!$I:$I,0)),"")</f>
        <v/>
      </c>
      <c r="D538" s="64" t="str">
        <f>IFERROR(INDEX(_Datos!D:D,MATCH(531,_Datos!$I:$I,0)),"")</f>
        <v/>
      </c>
      <c r="E538" s="65" t="str">
        <f>IFERROR(INDEX(_Datos!E:E,MATCH(531,_Datos!$I:$I,0)),"")</f>
        <v/>
      </c>
      <c r="F538" s="63" t="str">
        <f>IFERROR(INDEX(_Datos!F:F,MATCH(531,_Datos!$I:$I,0)),"")</f>
        <v/>
      </c>
      <c r="G538" s="63" t="str">
        <f>IFERROR(INDEX(_Datos!G:G,MATCH(531,_Datos!$I:$I,0)),"")</f>
        <v/>
      </c>
      <c r="H538" s="66" t="str">
        <f>IFERROR(INDEX(_Datos!H:H,MATCH(531,_Datos!$I:$I,0)),"")</f>
        <v/>
      </c>
    </row>
    <row r="539" spans="1:8" x14ac:dyDescent="0.2">
      <c r="A539" s="67" t="str">
        <f>IFERROR(INDEX(_Datos!A:A,MATCH(532,_Datos!$I:$I,0)),"")</f>
        <v/>
      </c>
      <c r="B539" s="67" t="str">
        <f>IFERROR(INDEX(_Datos!B:B,MATCH(532,_Datos!$I:$I,0)),"")</f>
        <v/>
      </c>
      <c r="C539" s="67" t="str">
        <f>IFERROR(INDEX(_Datos!C:C,MATCH(532,_Datos!$I:$I,0)),"")</f>
        <v/>
      </c>
      <c r="D539" s="68" t="str">
        <f>IFERROR(INDEX(_Datos!D:D,MATCH(532,_Datos!$I:$I,0)),"")</f>
        <v/>
      </c>
      <c r="E539" s="69" t="str">
        <f>IFERROR(INDEX(_Datos!E:E,MATCH(532,_Datos!$I:$I,0)),"")</f>
        <v/>
      </c>
      <c r="F539" s="67" t="str">
        <f>IFERROR(INDEX(_Datos!F:F,MATCH(532,_Datos!$I:$I,0)),"")</f>
        <v/>
      </c>
      <c r="G539" s="67" t="str">
        <f>IFERROR(INDEX(_Datos!G:G,MATCH(532,_Datos!$I:$I,0)),"")</f>
        <v/>
      </c>
      <c r="H539" s="70" t="str">
        <f>IFERROR(INDEX(_Datos!H:H,MATCH(532,_Datos!$I:$I,0)),"")</f>
        <v/>
      </c>
    </row>
    <row r="540" spans="1:8" x14ac:dyDescent="0.2">
      <c r="A540" s="63" t="str">
        <f>IFERROR(INDEX(_Datos!A:A,MATCH(533,_Datos!$I:$I,0)),"")</f>
        <v/>
      </c>
      <c r="B540" s="63" t="str">
        <f>IFERROR(INDEX(_Datos!B:B,MATCH(533,_Datos!$I:$I,0)),"")</f>
        <v/>
      </c>
      <c r="C540" s="63" t="str">
        <f>IFERROR(INDEX(_Datos!C:C,MATCH(533,_Datos!$I:$I,0)),"")</f>
        <v/>
      </c>
      <c r="D540" s="64" t="str">
        <f>IFERROR(INDEX(_Datos!D:D,MATCH(533,_Datos!$I:$I,0)),"")</f>
        <v/>
      </c>
      <c r="E540" s="65" t="str">
        <f>IFERROR(INDEX(_Datos!E:E,MATCH(533,_Datos!$I:$I,0)),"")</f>
        <v/>
      </c>
      <c r="F540" s="63" t="str">
        <f>IFERROR(INDEX(_Datos!F:F,MATCH(533,_Datos!$I:$I,0)),"")</f>
        <v/>
      </c>
      <c r="G540" s="63" t="str">
        <f>IFERROR(INDEX(_Datos!G:G,MATCH(533,_Datos!$I:$I,0)),"")</f>
        <v/>
      </c>
      <c r="H540" s="66" t="str">
        <f>IFERROR(INDEX(_Datos!H:H,MATCH(533,_Datos!$I:$I,0)),"")</f>
        <v/>
      </c>
    </row>
    <row r="541" spans="1:8" x14ac:dyDescent="0.2">
      <c r="A541" s="67" t="str">
        <f>IFERROR(INDEX(_Datos!A:A,MATCH(534,_Datos!$I:$I,0)),"")</f>
        <v/>
      </c>
      <c r="B541" s="67" t="str">
        <f>IFERROR(INDEX(_Datos!B:B,MATCH(534,_Datos!$I:$I,0)),"")</f>
        <v/>
      </c>
      <c r="C541" s="67" t="str">
        <f>IFERROR(INDEX(_Datos!C:C,MATCH(534,_Datos!$I:$I,0)),"")</f>
        <v/>
      </c>
      <c r="D541" s="68" t="str">
        <f>IFERROR(INDEX(_Datos!D:D,MATCH(534,_Datos!$I:$I,0)),"")</f>
        <v/>
      </c>
      <c r="E541" s="69" t="str">
        <f>IFERROR(INDEX(_Datos!E:E,MATCH(534,_Datos!$I:$I,0)),"")</f>
        <v/>
      </c>
      <c r="F541" s="67" t="str">
        <f>IFERROR(INDEX(_Datos!F:F,MATCH(534,_Datos!$I:$I,0)),"")</f>
        <v/>
      </c>
      <c r="G541" s="67" t="str">
        <f>IFERROR(INDEX(_Datos!G:G,MATCH(534,_Datos!$I:$I,0)),"")</f>
        <v/>
      </c>
      <c r="H541" s="70" t="str">
        <f>IFERROR(INDEX(_Datos!H:H,MATCH(534,_Datos!$I:$I,0)),"")</f>
        <v/>
      </c>
    </row>
    <row r="542" spans="1:8" x14ac:dyDescent="0.2">
      <c r="A542" s="63" t="str">
        <f>IFERROR(INDEX(_Datos!A:A,MATCH(535,_Datos!$I:$I,0)),"")</f>
        <v/>
      </c>
      <c r="B542" s="63" t="str">
        <f>IFERROR(INDEX(_Datos!B:B,MATCH(535,_Datos!$I:$I,0)),"")</f>
        <v/>
      </c>
      <c r="C542" s="63" t="str">
        <f>IFERROR(INDEX(_Datos!C:C,MATCH(535,_Datos!$I:$I,0)),"")</f>
        <v/>
      </c>
      <c r="D542" s="64" t="str">
        <f>IFERROR(INDEX(_Datos!D:D,MATCH(535,_Datos!$I:$I,0)),"")</f>
        <v/>
      </c>
      <c r="E542" s="65" t="str">
        <f>IFERROR(INDEX(_Datos!E:E,MATCH(535,_Datos!$I:$I,0)),"")</f>
        <v/>
      </c>
      <c r="F542" s="63" t="str">
        <f>IFERROR(INDEX(_Datos!F:F,MATCH(535,_Datos!$I:$I,0)),"")</f>
        <v/>
      </c>
      <c r="G542" s="63" t="str">
        <f>IFERROR(INDEX(_Datos!G:G,MATCH(535,_Datos!$I:$I,0)),"")</f>
        <v/>
      </c>
      <c r="H542" s="66" t="str">
        <f>IFERROR(INDEX(_Datos!H:H,MATCH(535,_Datos!$I:$I,0)),"")</f>
        <v/>
      </c>
    </row>
    <row r="543" spans="1:8" x14ac:dyDescent="0.2">
      <c r="A543" s="67" t="str">
        <f>IFERROR(INDEX(_Datos!A:A,MATCH(536,_Datos!$I:$I,0)),"")</f>
        <v/>
      </c>
      <c r="B543" s="67" t="str">
        <f>IFERROR(INDEX(_Datos!B:B,MATCH(536,_Datos!$I:$I,0)),"")</f>
        <v/>
      </c>
      <c r="C543" s="67" t="str">
        <f>IFERROR(INDEX(_Datos!C:C,MATCH(536,_Datos!$I:$I,0)),"")</f>
        <v/>
      </c>
      <c r="D543" s="68" t="str">
        <f>IFERROR(INDEX(_Datos!D:D,MATCH(536,_Datos!$I:$I,0)),"")</f>
        <v/>
      </c>
      <c r="E543" s="69" t="str">
        <f>IFERROR(INDEX(_Datos!E:E,MATCH(536,_Datos!$I:$I,0)),"")</f>
        <v/>
      </c>
      <c r="F543" s="67" t="str">
        <f>IFERROR(INDEX(_Datos!F:F,MATCH(536,_Datos!$I:$I,0)),"")</f>
        <v/>
      </c>
      <c r="G543" s="67" t="str">
        <f>IFERROR(INDEX(_Datos!G:G,MATCH(536,_Datos!$I:$I,0)),"")</f>
        <v/>
      </c>
      <c r="H543" s="70" t="str">
        <f>IFERROR(INDEX(_Datos!H:H,MATCH(536,_Datos!$I:$I,0)),"")</f>
        <v/>
      </c>
    </row>
    <row r="544" spans="1:8" x14ac:dyDescent="0.2">
      <c r="A544" s="63" t="str">
        <f>IFERROR(INDEX(_Datos!A:A,MATCH(537,_Datos!$I:$I,0)),"")</f>
        <v/>
      </c>
      <c r="B544" s="63" t="str">
        <f>IFERROR(INDEX(_Datos!B:B,MATCH(537,_Datos!$I:$I,0)),"")</f>
        <v/>
      </c>
      <c r="C544" s="63" t="str">
        <f>IFERROR(INDEX(_Datos!C:C,MATCH(537,_Datos!$I:$I,0)),"")</f>
        <v/>
      </c>
      <c r="D544" s="64" t="str">
        <f>IFERROR(INDEX(_Datos!D:D,MATCH(537,_Datos!$I:$I,0)),"")</f>
        <v/>
      </c>
      <c r="E544" s="65" t="str">
        <f>IFERROR(INDEX(_Datos!E:E,MATCH(537,_Datos!$I:$I,0)),"")</f>
        <v/>
      </c>
      <c r="F544" s="63" t="str">
        <f>IFERROR(INDEX(_Datos!F:F,MATCH(537,_Datos!$I:$I,0)),"")</f>
        <v/>
      </c>
      <c r="G544" s="63" t="str">
        <f>IFERROR(INDEX(_Datos!G:G,MATCH(537,_Datos!$I:$I,0)),"")</f>
        <v/>
      </c>
      <c r="H544" s="66" t="str">
        <f>IFERROR(INDEX(_Datos!H:H,MATCH(537,_Datos!$I:$I,0)),"")</f>
        <v/>
      </c>
    </row>
    <row r="545" spans="1:8" x14ac:dyDescent="0.2">
      <c r="A545" s="67" t="str">
        <f>IFERROR(INDEX(_Datos!A:A,MATCH(538,_Datos!$I:$I,0)),"")</f>
        <v/>
      </c>
      <c r="B545" s="67" t="str">
        <f>IFERROR(INDEX(_Datos!B:B,MATCH(538,_Datos!$I:$I,0)),"")</f>
        <v/>
      </c>
      <c r="C545" s="67" t="str">
        <f>IFERROR(INDEX(_Datos!C:C,MATCH(538,_Datos!$I:$I,0)),"")</f>
        <v/>
      </c>
      <c r="D545" s="68" t="str">
        <f>IFERROR(INDEX(_Datos!D:D,MATCH(538,_Datos!$I:$I,0)),"")</f>
        <v/>
      </c>
      <c r="E545" s="69" t="str">
        <f>IFERROR(INDEX(_Datos!E:E,MATCH(538,_Datos!$I:$I,0)),"")</f>
        <v/>
      </c>
      <c r="F545" s="67" t="str">
        <f>IFERROR(INDEX(_Datos!F:F,MATCH(538,_Datos!$I:$I,0)),"")</f>
        <v/>
      </c>
      <c r="G545" s="67" t="str">
        <f>IFERROR(INDEX(_Datos!G:G,MATCH(538,_Datos!$I:$I,0)),"")</f>
        <v/>
      </c>
      <c r="H545" s="70" t="str">
        <f>IFERROR(INDEX(_Datos!H:H,MATCH(538,_Datos!$I:$I,0)),"")</f>
        <v/>
      </c>
    </row>
    <row r="546" spans="1:8" x14ac:dyDescent="0.2">
      <c r="A546" s="63" t="str">
        <f>IFERROR(INDEX(_Datos!A:A,MATCH(539,_Datos!$I:$I,0)),"")</f>
        <v/>
      </c>
      <c r="B546" s="63" t="str">
        <f>IFERROR(INDEX(_Datos!B:B,MATCH(539,_Datos!$I:$I,0)),"")</f>
        <v/>
      </c>
      <c r="C546" s="63" t="str">
        <f>IFERROR(INDEX(_Datos!C:C,MATCH(539,_Datos!$I:$I,0)),"")</f>
        <v/>
      </c>
      <c r="D546" s="64" t="str">
        <f>IFERROR(INDEX(_Datos!D:D,MATCH(539,_Datos!$I:$I,0)),"")</f>
        <v/>
      </c>
      <c r="E546" s="65" t="str">
        <f>IFERROR(INDEX(_Datos!E:E,MATCH(539,_Datos!$I:$I,0)),"")</f>
        <v/>
      </c>
      <c r="F546" s="63" t="str">
        <f>IFERROR(INDEX(_Datos!F:F,MATCH(539,_Datos!$I:$I,0)),"")</f>
        <v/>
      </c>
      <c r="G546" s="63" t="str">
        <f>IFERROR(INDEX(_Datos!G:G,MATCH(539,_Datos!$I:$I,0)),"")</f>
        <v/>
      </c>
      <c r="H546" s="66" t="str">
        <f>IFERROR(INDEX(_Datos!H:H,MATCH(539,_Datos!$I:$I,0)),"")</f>
        <v/>
      </c>
    </row>
    <row r="547" spans="1:8" x14ac:dyDescent="0.2">
      <c r="A547" s="67" t="str">
        <f>IFERROR(INDEX(_Datos!A:A,MATCH(540,_Datos!$I:$I,0)),"")</f>
        <v/>
      </c>
      <c r="B547" s="67" t="str">
        <f>IFERROR(INDEX(_Datos!B:B,MATCH(540,_Datos!$I:$I,0)),"")</f>
        <v/>
      </c>
      <c r="C547" s="67" t="str">
        <f>IFERROR(INDEX(_Datos!C:C,MATCH(540,_Datos!$I:$I,0)),"")</f>
        <v/>
      </c>
      <c r="D547" s="68" t="str">
        <f>IFERROR(INDEX(_Datos!D:D,MATCH(540,_Datos!$I:$I,0)),"")</f>
        <v/>
      </c>
      <c r="E547" s="69" t="str">
        <f>IFERROR(INDEX(_Datos!E:E,MATCH(540,_Datos!$I:$I,0)),"")</f>
        <v/>
      </c>
      <c r="F547" s="67" t="str">
        <f>IFERROR(INDEX(_Datos!F:F,MATCH(540,_Datos!$I:$I,0)),"")</f>
        <v/>
      </c>
      <c r="G547" s="67" t="str">
        <f>IFERROR(INDEX(_Datos!G:G,MATCH(540,_Datos!$I:$I,0)),"")</f>
        <v/>
      </c>
      <c r="H547" s="70" t="str">
        <f>IFERROR(INDEX(_Datos!H:H,MATCH(540,_Datos!$I:$I,0)),"")</f>
        <v/>
      </c>
    </row>
    <row r="548" spans="1:8" x14ac:dyDescent="0.2">
      <c r="A548" s="63" t="str">
        <f>IFERROR(INDEX(_Datos!A:A,MATCH(541,_Datos!$I:$I,0)),"")</f>
        <v/>
      </c>
      <c r="B548" s="63" t="str">
        <f>IFERROR(INDEX(_Datos!B:B,MATCH(541,_Datos!$I:$I,0)),"")</f>
        <v/>
      </c>
      <c r="C548" s="63" t="str">
        <f>IFERROR(INDEX(_Datos!C:C,MATCH(541,_Datos!$I:$I,0)),"")</f>
        <v/>
      </c>
      <c r="D548" s="64" t="str">
        <f>IFERROR(INDEX(_Datos!D:D,MATCH(541,_Datos!$I:$I,0)),"")</f>
        <v/>
      </c>
      <c r="E548" s="65" t="str">
        <f>IFERROR(INDEX(_Datos!E:E,MATCH(541,_Datos!$I:$I,0)),"")</f>
        <v/>
      </c>
      <c r="F548" s="63" t="str">
        <f>IFERROR(INDEX(_Datos!F:F,MATCH(541,_Datos!$I:$I,0)),"")</f>
        <v/>
      </c>
      <c r="G548" s="63" t="str">
        <f>IFERROR(INDEX(_Datos!G:G,MATCH(541,_Datos!$I:$I,0)),"")</f>
        <v/>
      </c>
      <c r="H548" s="66" t="str">
        <f>IFERROR(INDEX(_Datos!H:H,MATCH(541,_Datos!$I:$I,0)),"")</f>
        <v/>
      </c>
    </row>
    <row r="549" spans="1:8" x14ac:dyDescent="0.2">
      <c r="A549" s="67" t="str">
        <f>IFERROR(INDEX(_Datos!A:A,MATCH(542,_Datos!$I:$I,0)),"")</f>
        <v/>
      </c>
      <c r="B549" s="67" t="str">
        <f>IFERROR(INDEX(_Datos!B:B,MATCH(542,_Datos!$I:$I,0)),"")</f>
        <v/>
      </c>
      <c r="C549" s="67" t="str">
        <f>IFERROR(INDEX(_Datos!C:C,MATCH(542,_Datos!$I:$I,0)),"")</f>
        <v/>
      </c>
      <c r="D549" s="68" t="str">
        <f>IFERROR(INDEX(_Datos!D:D,MATCH(542,_Datos!$I:$I,0)),"")</f>
        <v/>
      </c>
      <c r="E549" s="69" t="str">
        <f>IFERROR(INDEX(_Datos!E:E,MATCH(542,_Datos!$I:$I,0)),"")</f>
        <v/>
      </c>
      <c r="F549" s="67" t="str">
        <f>IFERROR(INDEX(_Datos!F:F,MATCH(542,_Datos!$I:$I,0)),"")</f>
        <v/>
      </c>
      <c r="G549" s="67" t="str">
        <f>IFERROR(INDEX(_Datos!G:G,MATCH(542,_Datos!$I:$I,0)),"")</f>
        <v/>
      </c>
      <c r="H549" s="70" t="str">
        <f>IFERROR(INDEX(_Datos!H:H,MATCH(542,_Datos!$I:$I,0)),"")</f>
        <v/>
      </c>
    </row>
    <row r="550" spans="1:8" x14ac:dyDescent="0.2">
      <c r="A550" s="63" t="str">
        <f>IFERROR(INDEX(_Datos!A:A,MATCH(543,_Datos!$I:$I,0)),"")</f>
        <v/>
      </c>
      <c r="B550" s="63" t="str">
        <f>IFERROR(INDEX(_Datos!B:B,MATCH(543,_Datos!$I:$I,0)),"")</f>
        <v/>
      </c>
      <c r="C550" s="63" t="str">
        <f>IFERROR(INDEX(_Datos!C:C,MATCH(543,_Datos!$I:$I,0)),"")</f>
        <v/>
      </c>
      <c r="D550" s="64" t="str">
        <f>IFERROR(INDEX(_Datos!D:D,MATCH(543,_Datos!$I:$I,0)),"")</f>
        <v/>
      </c>
      <c r="E550" s="65" t="str">
        <f>IFERROR(INDEX(_Datos!E:E,MATCH(543,_Datos!$I:$I,0)),"")</f>
        <v/>
      </c>
      <c r="F550" s="63" t="str">
        <f>IFERROR(INDEX(_Datos!F:F,MATCH(543,_Datos!$I:$I,0)),"")</f>
        <v/>
      </c>
      <c r="G550" s="63" t="str">
        <f>IFERROR(INDEX(_Datos!G:G,MATCH(543,_Datos!$I:$I,0)),"")</f>
        <v/>
      </c>
      <c r="H550" s="66" t="str">
        <f>IFERROR(INDEX(_Datos!H:H,MATCH(543,_Datos!$I:$I,0)),"")</f>
        <v/>
      </c>
    </row>
    <row r="551" spans="1:8" x14ac:dyDescent="0.2">
      <c r="A551" s="67" t="str">
        <f>IFERROR(INDEX(_Datos!A:A,MATCH(544,_Datos!$I:$I,0)),"")</f>
        <v/>
      </c>
      <c r="B551" s="67" t="str">
        <f>IFERROR(INDEX(_Datos!B:B,MATCH(544,_Datos!$I:$I,0)),"")</f>
        <v/>
      </c>
      <c r="C551" s="67" t="str">
        <f>IFERROR(INDEX(_Datos!C:C,MATCH(544,_Datos!$I:$I,0)),"")</f>
        <v/>
      </c>
      <c r="D551" s="68" t="str">
        <f>IFERROR(INDEX(_Datos!D:D,MATCH(544,_Datos!$I:$I,0)),"")</f>
        <v/>
      </c>
      <c r="E551" s="69" t="str">
        <f>IFERROR(INDEX(_Datos!E:E,MATCH(544,_Datos!$I:$I,0)),"")</f>
        <v/>
      </c>
      <c r="F551" s="67" t="str">
        <f>IFERROR(INDEX(_Datos!F:F,MATCH(544,_Datos!$I:$I,0)),"")</f>
        <v/>
      </c>
      <c r="G551" s="67" t="str">
        <f>IFERROR(INDEX(_Datos!G:G,MATCH(544,_Datos!$I:$I,0)),"")</f>
        <v/>
      </c>
      <c r="H551" s="70" t="str">
        <f>IFERROR(INDEX(_Datos!H:H,MATCH(544,_Datos!$I:$I,0)),"")</f>
        <v/>
      </c>
    </row>
    <row r="552" spans="1:8" x14ac:dyDescent="0.2">
      <c r="A552" s="63" t="str">
        <f>IFERROR(INDEX(_Datos!A:A,MATCH(545,_Datos!$I:$I,0)),"")</f>
        <v/>
      </c>
      <c r="B552" s="63" t="str">
        <f>IFERROR(INDEX(_Datos!B:B,MATCH(545,_Datos!$I:$I,0)),"")</f>
        <v/>
      </c>
      <c r="C552" s="63" t="str">
        <f>IFERROR(INDEX(_Datos!C:C,MATCH(545,_Datos!$I:$I,0)),"")</f>
        <v/>
      </c>
      <c r="D552" s="64" t="str">
        <f>IFERROR(INDEX(_Datos!D:D,MATCH(545,_Datos!$I:$I,0)),"")</f>
        <v/>
      </c>
      <c r="E552" s="65" t="str">
        <f>IFERROR(INDEX(_Datos!E:E,MATCH(545,_Datos!$I:$I,0)),"")</f>
        <v/>
      </c>
      <c r="F552" s="63" t="str">
        <f>IFERROR(INDEX(_Datos!F:F,MATCH(545,_Datos!$I:$I,0)),"")</f>
        <v/>
      </c>
      <c r="G552" s="63" t="str">
        <f>IFERROR(INDEX(_Datos!G:G,MATCH(545,_Datos!$I:$I,0)),"")</f>
        <v/>
      </c>
      <c r="H552" s="66" t="str">
        <f>IFERROR(INDEX(_Datos!H:H,MATCH(545,_Datos!$I:$I,0)),"")</f>
        <v/>
      </c>
    </row>
    <row r="553" spans="1:8" x14ac:dyDescent="0.2">
      <c r="A553" s="67" t="str">
        <f>IFERROR(INDEX(_Datos!A:A,MATCH(546,_Datos!$I:$I,0)),"")</f>
        <v/>
      </c>
      <c r="B553" s="67" t="str">
        <f>IFERROR(INDEX(_Datos!B:B,MATCH(546,_Datos!$I:$I,0)),"")</f>
        <v/>
      </c>
      <c r="C553" s="67" t="str">
        <f>IFERROR(INDEX(_Datos!C:C,MATCH(546,_Datos!$I:$I,0)),"")</f>
        <v/>
      </c>
      <c r="D553" s="68" t="str">
        <f>IFERROR(INDEX(_Datos!D:D,MATCH(546,_Datos!$I:$I,0)),"")</f>
        <v/>
      </c>
      <c r="E553" s="69" t="str">
        <f>IFERROR(INDEX(_Datos!E:E,MATCH(546,_Datos!$I:$I,0)),"")</f>
        <v/>
      </c>
      <c r="F553" s="67" t="str">
        <f>IFERROR(INDEX(_Datos!F:F,MATCH(546,_Datos!$I:$I,0)),"")</f>
        <v/>
      </c>
      <c r="G553" s="67" t="str">
        <f>IFERROR(INDEX(_Datos!G:G,MATCH(546,_Datos!$I:$I,0)),"")</f>
        <v/>
      </c>
      <c r="H553" s="70" t="str">
        <f>IFERROR(INDEX(_Datos!H:H,MATCH(546,_Datos!$I:$I,0)),"")</f>
        <v/>
      </c>
    </row>
    <row r="554" spans="1:8" x14ac:dyDescent="0.2">
      <c r="A554" s="63" t="str">
        <f>IFERROR(INDEX(_Datos!A:A,MATCH(547,_Datos!$I:$I,0)),"")</f>
        <v/>
      </c>
      <c r="B554" s="63" t="str">
        <f>IFERROR(INDEX(_Datos!B:B,MATCH(547,_Datos!$I:$I,0)),"")</f>
        <v/>
      </c>
      <c r="C554" s="63" t="str">
        <f>IFERROR(INDEX(_Datos!C:C,MATCH(547,_Datos!$I:$I,0)),"")</f>
        <v/>
      </c>
      <c r="D554" s="64" t="str">
        <f>IFERROR(INDEX(_Datos!D:D,MATCH(547,_Datos!$I:$I,0)),"")</f>
        <v/>
      </c>
      <c r="E554" s="65" t="str">
        <f>IFERROR(INDEX(_Datos!E:E,MATCH(547,_Datos!$I:$I,0)),"")</f>
        <v/>
      </c>
      <c r="F554" s="63" t="str">
        <f>IFERROR(INDEX(_Datos!F:F,MATCH(547,_Datos!$I:$I,0)),"")</f>
        <v/>
      </c>
      <c r="G554" s="63" t="str">
        <f>IFERROR(INDEX(_Datos!G:G,MATCH(547,_Datos!$I:$I,0)),"")</f>
        <v/>
      </c>
      <c r="H554" s="66" t="str">
        <f>IFERROR(INDEX(_Datos!H:H,MATCH(547,_Datos!$I:$I,0)),"")</f>
        <v/>
      </c>
    </row>
    <row r="555" spans="1:8" x14ac:dyDescent="0.2">
      <c r="A555" s="67" t="str">
        <f>IFERROR(INDEX(_Datos!A:A,MATCH(548,_Datos!$I:$I,0)),"")</f>
        <v/>
      </c>
      <c r="B555" s="67" t="str">
        <f>IFERROR(INDEX(_Datos!B:B,MATCH(548,_Datos!$I:$I,0)),"")</f>
        <v/>
      </c>
      <c r="C555" s="67" t="str">
        <f>IFERROR(INDEX(_Datos!C:C,MATCH(548,_Datos!$I:$I,0)),"")</f>
        <v/>
      </c>
      <c r="D555" s="68" t="str">
        <f>IFERROR(INDEX(_Datos!D:D,MATCH(548,_Datos!$I:$I,0)),"")</f>
        <v/>
      </c>
      <c r="E555" s="69" t="str">
        <f>IFERROR(INDEX(_Datos!E:E,MATCH(548,_Datos!$I:$I,0)),"")</f>
        <v/>
      </c>
      <c r="F555" s="67" t="str">
        <f>IFERROR(INDEX(_Datos!F:F,MATCH(548,_Datos!$I:$I,0)),"")</f>
        <v/>
      </c>
      <c r="G555" s="67" t="str">
        <f>IFERROR(INDEX(_Datos!G:G,MATCH(548,_Datos!$I:$I,0)),"")</f>
        <v/>
      </c>
      <c r="H555" s="70" t="str">
        <f>IFERROR(INDEX(_Datos!H:H,MATCH(548,_Datos!$I:$I,0)),"")</f>
        <v/>
      </c>
    </row>
    <row r="556" spans="1:8" x14ac:dyDescent="0.2">
      <c r="A556" s="63" t="str">
        <f>IFERROR(INDEX(_Datos!A:A,MATCH(549,_Datos!$I:$I,0)),"")</f>
        <v/>
      </c>
      <c r="B556" s="63" t="str">
        <f>IFERROR(INDEX(_Datos!B:B,MATCH(549,_Datos!$I:$I,0)),"")</f>
        <v/>
      </c>
      <c r="C556" s="63" t="str">
        <f>IFERROR(INDEX(_Datos!C:C,MATCH(549,_Datos!$I:$I,0)),"")</f>
        <v/>
      </c>
      <c r="D556" s="64" t="str">
        <f>IFERROR(INDEX(_Datos!D:D,MATCH(549,_Datos!$I:$I,0)),"")</f>
        <v/>
      </c>
      <c r="E556" s="65" t="str">
        <f>IFERROR(INDEX(_Datos!E:E,MATCH(549,_Datos!$I:$I,0)),"")</f>
        <v/>
      </c>
      <c r="F556" s="63" t="str">
        <f>IFERROR(INDEX(_Datos!F:F,MATCH(549,_Datos!$I:$I,0)),"")</f>
        <v/>
      </c>
      <c r="G556" s="63" t="str">
        <f>IFERROR(INDEX(_Datos!G:G,MATCH(549,_Datos!$I:$I,0)),"")</f>
        <v/>
      </c>
      <c r="H556" s="66" t="str">
        <f>IFERROR(INDEX(_Datos!H:H,MATCH(549,_Datos!$I:$I,0)),"")</f>
        <v/>
      </c>
    </row>
    <row r="557" spans="1:8" x14ac:dyDescent="0.2">
      <c r="A557" s="67" t="str">
        <f>IFERROR(INDEX(_Datos!A:A,MATCH(550,_Datos!$I:$I,0)),"")</f>
        <v/>
      </c>
      <c r="B557" s="67" t="str">
        <f>IFERROR(INDEX(_Datos!B:B,MATCH(550,_Datos!$I:$I,0)),"")</f>
        <v/>
      </c>
      <c r="C557" s="67" t="str">
        <f>IFERROR(INDEX(_Datos!C:C,MATCH(550,_Datos!$I:$I,0)),"")</f>
        <v/>
      </c>
      <c r="D557" s="68" t="str">
        <f>IFERROR(INDEX(_Datos!D:D,MATCH(550,_Datos!$I:$I,0)),"")</f>
        <v/>
      </c>
      <c r="E557" s="69" t="str">
        <f>IFERROR(INDEX(_Datos!E:E,MATCH(550,_Datos!$I:$I,0)),"")</f>
        <v/>
      </c>
      <c r="F557" s="67" t="str">
        <f>IFERROR(INDEX(_Datos!F:F,MATCH(550,_Datos!$I:$I,0)),"")</f>
        <v/>
      </c>
      <c r="G557" s="67" t="str">
        <f>IFERROR(INDEX(_Datos!G:G,MATCH(550,_Datos!$I:$I,0)),"")</f>
        <v/>
      </c>
      <c r="H557" s="70" t="str">
        <f>IFERROR(INDEX(_Datos!H:H,MATCH(550,_Datos!$I:$I,0)),"")</f>
        <v/>
      </c>
    </row>
    <row r="558" spans="1:8" x14ac:dyDescent="0.2">
      <c r="A558" s="63" t="str">
        <f>IFERROR(INDEX(_Datos!A:A,MATCH(551,_Datos!$I:$I,0)),"")</f>
        <v/>
      </c>
      <c r="B558" s="63" t="str">
        <f>IFERROR(INDEX(_Datos!B:B,MATCH(551,_Datos!$I:$I,0)),"")</f>
        <v/>
      </c>
      <c r="C558" s="63" t="str">
        <f>IFERROR(INDEX(_Datos!C:C,MATCH(551,_Datos!$I:$I,0)),"")</f>
        <v/>
      </c>
      <c r="D558" s="64" t="str">
        <f>IFERROR(INDEX(_Datos!D:D,MATCH(551,_Datos!$I:$I,0)),"")</f>
        <v/>
      </c>
      <c r="E558" s="65" t="str">
        <f>IFERROR(INDEX(_Datos!E:E,MATCH(551,_Datos!$I:$I,0)),"")</f>
        <v/>
      </c>
      <c r="F558" s="63" t="str">
        <f>IFERROR(INDEX(_Datos!F:F,MATCH(551,_Datos!$I:$I,0)),"")</f>
        <v/>
      </c>
      <c r="G558" s="63" t="str">
        <f>IFERROR(INDEX(_Datos!G:G,MATCH(551,_Datos!$I:$I,0)),"")</f>
        <v/>
      </c>
      <c r="H558" s="66" t="str">
        <f>IFERROR(INDEX(_Datos!H:H,MATCH(551,_Datos!$I:$I,0)),"")</f>
        <v/>
      </c>
    </row>
    <row r="559" spans="1:8" x14ac:dyDescent="0.2">
      <c r="A559" s="67" t="str">
        <f>IFERROR(INDEX(_Datos!A:A,MATCH(552,_Datos!$I:$I,0)),"")</f>
        <v/>
      </c>
      <c r="B559" s="67" t="str">
        <f>IFERROR(INDEX(_Datos!B:B,MATCH(552,_Datos!$I:$I,0)),"")</f>
        <v/>
      </c>
      <c r="C559" s="67" t="str">
        <f>IFERROR(INDEX(_Datos!C:C,MATCH(552,_Datos!$I:$I,0)),"")</f>
        <v/>
      </c>
      <c r="D559" s="68" t="str">
        <f>IFERROR(INDEX(_Datos!D:D,MATCH(552,_Datos!$I:$I,0)),"")</f>
        <v/>
      </c>
      <c r="E559" s="69" t="str">
        <f>IFERROR(INDEX(_Datos!E:E,MATCH(552,_Datos!$I:$I,0)),"")</f>
        <v/>
      </c>
      <c r="F559" s="67" t="str">
        <f>IFERROR(INDEX(_Datos!F:F,MATCH(552,_Datos!$I:$I,0)),"")</f>
        <v/>
      </c>
      <c r="G559" s="67" t="str">
        <f>IFERROR(INDEX(_Datos!G:G,MATCH(552,_Datos!$I:$I,0)),"")</f>
        <v/>
      </c>
      <c r="H559" s="70" t="str">
        <f>IFERROR(INDEX(_Datos!H:H,MATCH(552,_Datos!$I:$I,0)),"")</f>
        <v/>
      </c>
    </row>
    <row r="560" spans="1:8" x14ac:dyDescent="0.2">
      <c r="A560" s="63" t="str">
        <f>IFERROR(INDEX(_Datos!A:A,MATCH(553,_Datos!$I:$I,0)),"")</f>
        <v/>
      </c>
      <c r="B560" s="63" t="str">
        <f>IFERROR(INDEX(_Datos!B:B,MATCH(553,_Datos!$I:$I,0)),"")</f>
        <v/>
      </c>
      <c r="C560" s="63" t="str">
        <f>IFERROR(INDEX(_Datos!C:C,MATCH(553,_Datos!$I:$I,0)),"")</f>
        <v/>
      </c>
      <c r="D560" s="64" t="str">
        <f>IFERROR(INDEX(_Datos!D:D,MATCH(553,_Datos!$I:$I,0)),"")</f>
        <v/>
      </c>
      <c r="E560" s="65" t="str">
        <f>IFERROR(INDEX(_Datos!E:E,MATCH(553,_Datos!$I:$I,0)),"")</f>
        <v/>
      </c>
      <c r="F560" s="63" t="str">
        <f>IFERROR(INDEX(_Datos!F:F,MATCH(553,_Datos!$I:$I,0)),"")</f>
        <v/>
      </c>
      <c r="G560" s="63" t="str">
        <f>IFERROR(INDEX(_Datos!G:G,MATCH(553,_Datos!$I:$I,0)),"")</f>
        <v/>
      </c>
      <c r="H560" s="66" t="str">
        <f>IFERROR(INDEX(_Datos!H:H,MATCH(553,_Datos!$I:$I,0)),"")</f>
        <v/>
      </c>
    </row>
    <row r="561" spans="1:8" x14ac:dyDescent="0.2">
      <c r="A561" s="67" t="str">
        <f>IFERROR(INDEX(_Datos!A:A,MATCH(554,_Datos!$I:$I,0)),"")</f>
        <v/>
      </c>
      <c r="B561" s="67" t="str">
        <f>IFERROR(INDEX(_Datos!B:B,MATCH(554,_Datos!$I:$I,0)),"")</f>
        <v/>
      </c>
      <c r="C561" s="67" t="str">
        <f>IFERROR(INDEX(_Datos!C:C,MATCH(554,_Datos!$I:$I,0)),"")</f>
        <v/>
      </c>
      <c r="D561" s="68" t="str">
        <f>IFERROR(INDEX(_Datos!D:D,MATCH(554,_Datos!$I:$I,0)),"")</f>
        <v/>
      </c>
      <c r="E561" s="69" t="str">
        <f>IFERROR(INDEX(_Datos!E:E,MATCH(554,_Datos!$I:$I,0)),"")</f>
        <v/>
      </c>
      <c r="F561" s="67" t="str">
        <f>IFERROR(INDEX(_Datos!F:F,MATCH(554,_Datos!$I:$I,0)),"")</f>
        <v/>
      </c>
      <c r="G561" s="67" t="str">
        <f>IFERROR(INDEX(_Datos!G:G,MATCH(554,_Datos!$I:$I,0)),"")</f>
        <v/>
      </c>
      <c r="H561" s="70" t="str">
        <f>IFERROR(INDEX(_Datos!H:H,MATCH(554,_Datos!$I:$I,0)),"")</f>
        <v/>
      </c>
    </row>
    <row r="562" spans="1:8" x14ac:dyDescent="0.2">
      <c r="A562" s="63" t="str">
        <f>IFERROR(INDEX(_Datos!A:A,MATCH(555,_Datos!$I:$I,0)),"")</f>
        <v/>
      </c>
      <c r="B562" s="63" t="str">
        <f>IFERROR(INDEX(_Datos!B:B,MATCH(555,_Datos!$I:$I,0)),"")</f>
        <v/>
      </c>
      <c r="C562" s="63" t="str">
        <f>IFERROR(INDEX(_Datos!C:C,MATCH(555,_Datos!$I:$I,0)),"")</f>
        <v/>
      </c>
      <c r="D562" s="64" t="str">
        <f>IFERROR(INDEX(_Datos!D:D,MATCH(555,_Datos!$I:$I,0)),"")</f>
        <v/>
      </c>
      <c r="E562" s="65" t="str">
        <f>IFERROR(INDEX(_Datos!E:E,MATCH(555,_Datos!$I:$I,0)),"")</f>
        <v/>
      </c>
      <c r="F562" s="63" t="str">
        <f>IFERROR(INDEX(_Datos!F:F,MATCH(555,_Datos!$I:$I,0)),"")</f>
        <v/>
      </c>
      <c r="G562" s="63" t="str">
        <f>IFERROR(INDEX(_Datos!G:G,MATCH(555,_Datos!$I:$I,0)),"")</f>
        <v/>
      </c>
      <c r="H562" s="66" t="str">
        <f>IFERROR(INDEX(_Datos!H:H,MATCH(555,_Datos!$I:$I,0)),"")</f>
        <v/>
      </c>
    </row>
    <row r="563" spans="1:8" x14ac:dyDescent="0.2">
      <c r="A563" s="67" t="str">
        <f>IFERROR(INDEX(_Datos!A:A,MATCH(556,_Datos!$I:$I,0)),"")</f>
        <v/>
      </c>
      <c r="B563" s="67" t="str">
        <f>IFERROR(INDEX(_Datos!B:B,MATCH(556,_Datos!$I:$I,0)),"")</f>
        <v/>
      </c>
      <c r="C563" s="67" t="str">
        <f>IFERROR(INDEX(_Datos!C:C,MATCH(556,_Datos!$I:$I,0)),"")</f>
        <v/>
      </c>
      <c r="D563" s="68" t="str">
        <f>IFERROR(INDEX(_Datos!D:D,MATCH(556,_Datos!$I:$I,0)),"")</f>
        <v/>
      </c>
      <c r="E563" s="69" t="str">
        <f>IFERROR(INDEX(_Datos!E:E,MATCH(556,_Datos!$I:$I,0)),"")</f>
        <v/>
      </c>
      <c r="F563" s="67" t="str">
        <f>IFERROR(INDEX(_Datos!F:F,MATCH(556,_Datos!$I:$I,0)),"")</f>
        <v/>
      </c>
      <c r="G563" s="67" t="str">
        <f>IFERROR(INDEX(_Datos!G:G,MATCH(556,_Datos!$I:$I,0)),"")</f>
        <v/>
      </c>
      <c r="H563" s="70" t="str">
        <f>IFERROR(INDEX(_Datos!H:H,MATCH(556,_Datos!$I:$I,0)),"")</f>
        <v/>
      </c>
    </row>
    <row r="564" spans="1:8" x14ac:dyDescent="0.2">
      <c r="A564" s="63" t="str">
        <f>IFERROR(INDEX(_Datos!A:A,MATCH(557,_Datos!$I:$I,0)),"")</f>
        <v/>
      </c>
      <c r="B564" s="63" t="str">
        <f>IFERROR(INDEX(_Datos!B:B,MATCH(557,_Datos!$I:$I,0)),"")</f>
        <v/>
      </c>
      <c r="C564" s="63" t="str">
        <f>IFERROR(INDEX(_Datos!C:C,MATCH(557,_Datos!$I:$I,0)),"")</f>
        <v/>
      </c>
      <c r="D564" s="64" t="str">
        <f>IFERROR(INDEX(_Datos!D:D,MATCH(557,_Datos!$I:$I,0)),"")</f>
        <v/>
      </c>
      <c r="E564" s="65" t="str">
        <f>IFERROR(INDEX(_Datos!E:E,MATCH(557,_Datos!$I:$I,0)),"")</f>
        <v/>
      </c>
      <c r="F564" s="63" t="str">
        <f>IFERROR(INDEX(_Datos!F:F,MATCH(557,_Datos!$I:$I,0)),"")</f>
        <v/>
      </c>
      <c r="G564" s="63" t="str">
        <f>IFERROR(INDEX(_Datos!G:G,MATCH(557,_Datos!$I:$I,0)),"")</f>
        <v/>
      </c>
      <c r="H564" s="66" t="str">
        <f>IFERROR(INDEX(_Datos!H:H,MATCH(557,_Datos!$I:$I,0)),"")</f>
        <v/>
      </c>
    </row>
    <row r="565" spans="1:8" x14ac:dyDescent="0.2">
      <c r="A565" s="67" t="str">
        <f>IFERROR(INDEX(_Datos!A:A,MATCH(558,_Datos!$I:$I,0)),"")</f>
        <v/>
      </c>
      <c r="B565" s="67" t="str">
        <f>IFERROR(INDEX(_Datos!B:B,MATCH(558,_Datos!$I:$I,0)),"")</f>
        <v/>
      </c>
      <c r="C565" s="67" t="str">
        <f>IFERROR(INDEX(_Datos!C:C,MATCH(558,_Datos!$I:$I,0)),"")</f>
        <v/>
      </c>
      <c r="D565" s="68" t="str">
        <f>IFERROR(INDEX(_Datos!D:D,MATCH(558,_Datos!$I:$I,0)),"")</f>
        <v/>
      </c>
      <c r="E565" s="69" t="str">
        <f>IFERROR(INDEX(_Datos!E:E,MATCH(558,_Datos!$I:$I,0)),"")</f>
        <v/>
      </c>
      <c r="F565" s="67" t="str">
        <f>IFERROR(INDEX(_Datos!F:F,MATCH(558,_Datos!$I:$I,0)),"")</f>
        <v/>
      </c>
      <c r="G565" s="67" t="str">
        <f>IFERROR(INDEX(_Datos!G:G,MATCH(558,_Datos!$I:$I,0)),"")</f>
        <v/>
      </c>
      <c r="H565" s="70" t="str">
        <f>IFERROR(INDEX(_Datos!H:H,MATCH(558,_Datos!$I:$I,0)),"")</f>
        <v/>
      </c>
    </row>
    <row r="566" spans="1:8" x14ac:dyDescent="0.2">
      <c r="A566" s="63" t="str">
        <f>IFERROR(INDEX(_Datos!A:A,MATCH(559,_Datos!$I:$I,0)),"")</f>
        <v/>
      </c>
      <c r="B566" s="63" t="str">
        <f>IFERROR(INDEX(_Datos!B:B,MATCH(559,_Datos!$I:$I,0)),"")</f>
        <v/>
      </c>
      <c r="C566" s="63" t="str">
        <f>IFERROR(INDEX(_Datos!C:C,MATCH(559,_Datos!$I:$I,0)),"")</f>
        <v/>
      </c>
      <c r="D566" s="64" t="str">
        <f>IFERROR(INDEX(_Datos!D:D,MATCH(559,_Datos!$I:$I,0)),"")</f>
        <v/>
      </c>
      <c r="E566" s="65" t="str">
        <f>IFERROR(INDEX(_Datos!E:E,MATCH(559,_Datos!$I:$I,0)),"")</f>
        <v/>
      </c>
      <c r="F566" s="63" t="str">
        <f>IFERROR(INDEX(_Datos!F:F,MATCH(559,_Datos!$I:$I,0)),"")</f>
        <v/>
      </c>
      <c r="G566" s="63" t="str">
        <f>IFERROR(INDEX(_Datos!G:G,MATCH(559,_Datos!$I:$I,0)),"")</f>
        <v/>
      </c>
      <c r="H566" s="66" t="str">
        <f>IFERROR(INDEX(_Datos!H:H,MATCH(559,_Datos!$I:$I,0)),"")</f>
        <v/>
      </c>
    </row>
    <row r="567" spans="1:8" x14ac:dyDescent="0.2">
      <c r="A567" s="67" t="str">
        <f>IFERROR(INDEX(_Datos!A:A,MATCH(560,_Datos!$I:$I,0)),"")</f>
        <v/>
      </c>
      <c r="B567" s="67" t="str">
        <f>IFERROR(INDEX(_Datos!B:B,MATCH(560,_Datos!$I:$I,0)),"")</f>
        <v/>
      </c>
      <c r="C567" s="67" t="str">
        <f>IFERROR(INDEX(_Datos!C:C,MATCH(560,_Datos!$I:$I,0)),"")</f>
        <v/>
      </c>
      <c r="D567" s="68" t="str">
        <f>IFERROR(INDEX(_Datos!D:D,MATCH(560,_Datos!$I:$I,0)),"")</f>
        <v/>
      </c>
      <c r="E567" s="69" t="str">
        <f>IFERROR(INDEX(_Datos!E:E,MATCH(560,_Datos!$I:$I,0)),"")</f>
        <v/>
      </c>
      <c r="F567" s="67" t="str">
        <f>IFERROR(INDEX(_Datos!F:F,MATCH(560,_Datos!$I:$I,0)),"")</f>
        <v/>
      </c>
      <c r="G567" s="67" t="str">
        <f>IFERROR(INDEX(_Datos!G:G,MATCH(560,_Datos!$I:$I,0)),"")</f>
        <v/>
      </c>
      <c r="H567" s="70" t="str">
        <f>IFERROR(INDEX(_Datos!H:H,MATCH(560,_Datos!$I:$I,0)),"")</f>
        <v/>
      </c>
    </row>
    <row r="568" spans="1:8" x14ac:dyDescent="0.2">
      <c r="A568" s="63" t="str">
        <f>IFERROR(INDEX(_Datos!A:A,MATCH(561,_Datos!$I:$I,0)),"")</f>
        <v/>
      </c>
      <c r="B568" s="63" t="str">
        <f>IFERROR(INDEX(_Datos!B:B,MATCH(561,_Datos!$I:$I,0)),"")</f>
        <v/>
      </c>
      <c r="C568" s="63" t="str">
        <f>IFERROR(INDEX(_Datos!C:C,MATCH(561,_Datos!$I:$I,0)),"")</f>
        <v/>
      </c>
      <c r="D568" s="64" t="str">
        <f>IFERROR(INDEX(_Datos!D:D,MATCH(561,_Datos!$I:$I,0)),"")</f>
        <v/>
      </c>
      <c r="E568" s="65" t="str">
        <f>IFERROR(INDEX(_Datos!E:E,MATCH(561,_Datos!$I:$I,0)),"")</f>
        <v/>
      </c>
      <c r="F568" s="63" t="str">
        <f>IFERROR(INDEX(_Datos!F:F,MATCH(561,_Datos!$I:$I,0)),"")</f>
        <v/>
      </c>
      <c r="G568" s="63" t="str">
        <f>IFERROR(INDEX(_Datos!G:G,MATCH(561,_Datos!$I:$I,0)),"")</f>
        <v/>
      </c>
      <c r="H568" s="66" t="str">
        <f>IFERROR(INDEX(_Datos!H:H,MATCH(561,_Datos!$I:$I,0)),"")</f>
        <v/>
      </c>
    </row>
    <row r="569" spans="1:8" x14ac:dyDescent="0.2">
      <c r="A569" s="67" t="str">
        <f>IFERROR(INDEX(_Datos!A:A,MATCH(562,_Datos!$I:$I,0)),"")</f>
        <v/>
      </c>
      <c r="B569" s="67" t="str">
        <f>IFERROR(INDEX(_Datos!B:B,MATCH(562,_Datos!$I:$I,0)),"")</f>
        <v/>
      </c>
      <c r="C569" s="67" t="str">
        <f>IFERROR(INDEX(_Datos!C:C,MATCH(562,_Datos!$I:$I,0)),"")</f>
        <v/>
      </c>
      <c r="D569" s="68" t="str">
        <f>IFERROR(INDEX(_Datos!D:D,MATCH(562,_Datos!$I:$I,0)),"")</f>
        <v/>
      </c>
      <c r="E569" s="69" t="str">
        <f>IFERROR(INDEX(_Datos!E:E,MATCH(562,_Datos!$I:$I,0)),"")</f>
        <v/>
      </c>
      <c r="F569" s="67" t="str">
        <f>IFERROR(INDEX(_Datos!F:F,MATCH(562,_Datos!$I:$I,0)),"")</f>
        <v/>
      </c>
      <c r="G569" s="67" t="str">
        <f>IFERROR(INDEX(_Datos!G:G,MATCH(562,_Datos!$I:$I,0)),"")</f>
        <v/>
      </c>
      <c r="H569" s="70" t="str">
        <f>IFERROR(INDEX(_Datos!H:H,MATCH(562,_Datos!$I:$I,0)),"")</f>
        <v/>
      </c>
    </row>
    <row r="570" spans="1:8" x14ac:dyDescent="0.2">
      <c r="A570" s="63" t="str">
        <f>IFERROR(INDEX(_Datos!A:A,MATCH(563,_Datos!$I:$I,0)),"")</f>
        <v/>
      </c>
      <c r="B570" s="63" t="str">
        <f>IFERROR(INDEX(_Datos!B:B,MATCH(563,_Datos!$I:$I,0)),"")</f>
        <v/>
      </c>
      <c r="C570" s="63" t="str">
        <f>IFERROR(INDEX(_Datos!C:C,MATCH(563,_Datos!$I:$I,0)),"")</f>
        <v/>
      </c>
      <c r="D570" s="64" t="str">
        <f>IFERROR(INDEX(_Datos!D:D,MATCH(563,_Datos!$I:$I,0)),"")</f>
        <v/>
      </c>
      <c r="E570" s="65" t="str">
        <f>IFERROR(INDEX(_Datos!E:E,MATCH(563,_Datos!$I:$I,0)),"")</f>
        <v/>
      </c>
      <c r="F570" s="63" t="str">
        <f>IFERROR(INDEX(_Datos!F:F,MATCH(563,_Datos!$I:$I,0)),"")</f>
        <v/>
      </c>
      <c r="G570" s="63" t="str">
        <f>IFERROR(INDEX(_Datos!G:G,MATCH(563,_Datos!$I:$I,0)),"")</f>
        <v/>
      </c>
      <c r="H570" s="66" t="str">
        <f>IFERROR(INDEX(_Datos!H:H,MATCH(563,_Datos!$I:$I,0)),"")</f>
        <v/>
      </c>
    </row>
    <row r="571" spans="1:8" x14ac:dyDescent="0.2">
      <c r="A571" s="67" t="str">
        <f>IFERROR(INDEX(_Datos!A:A,MATCH(564,_Datos!$I:$I,0)),"")</f>
        <v/>
      </c>
      <c r="B571" s="67" t="str">
        <f>IFERROR(INDEX(_Datos!B:B,MATCH(564,_Datos!$I:$I,0)),"")</f>
        <v/>
      </c>
      <c r="C571" s="67" t="str">
        <f>IFERROR(INDEX(_Datos!C:C,MATCH(564,_Datos!$I:$I,0)),"")</f>
        <v/>
      </c>
      <c r="D571" s="68" t="str">
        <f>IFERROR(INDEX(_Datos!D:D,MATCH(564,_Datos!$I:$I,0)),"")</f>
        <v/>
      </c>
      <c r="E571" s="69" t="str">
        <f>IFERROR(INDEX(_Datos!E:E,MATCH(564,_Datos!$I:$I,0)),"")</f>
        <v/>
      </c>
      <c r="F571" s="67" t="str">
        <f>IFERROR(INDEX(_Datos!F:F,MATCH(564,_Datos!$I:$I,0)),"")</f>
        <v/>
      </c>
      <c r="G571" s="67" t="str">
        <f>IFERROR(INDEX(_Datos!G:G,MATCH(564,_Datos!$I:$I,0)),"")</f>
        <v/>
      </c>
      <c r="H571" s="70" t="str">
        <f>IFERROR(INDEX(_Datos!H:H,MATCH(564,_Datos!$I:$I,0)),"")</f>
        <v/>
      </c>
    </row>
    <row r="572" spans="1:8" x14ac:dyDescent="0.2">
      <c r="A572" s="63" t="str">
        <f>IFERROR(INDEX(_Datos!A:A,MATCH(565,_Datos!$I:$I,0)),"")</f>
        <v/>
      </c>
      <c r="B572" s="63" t="str">
        <f>IFERROR(INDEX(_Datos!B:B,MATCH(565,_Datos!$I:$I,0)),"")</f>
        <v/>
      </c>
      <c r="C572" s="63" t="str">
        <f>IFERROR(INDEX(_Datos!C:C,MATCH(565,_Datos!$I:$I,0)),"")</f>
        <v/>
      </c>
      <c r="D572" s="64" t="str">
        <f>IFERROR(INDEX(_Datos!D:D,MATCH(565,_Datos!$I:$I,0)),"")</f>
        <v/>
      </c>
      <c r="E572" s="65" t="str">
        <f>IFERROR(INDEX(_Datos!E:E,MATCH(565,_Datos!$I:$I,0)),"")</f>
        <v/>
      </c>
      <c r="F572" s="63" t="str">
        <f>IFERROR(INDEX(_Datos!F:F,MATCH(565,_Datos!$I:$I,0)),"")</f>
        <v/>
      </c>
      <c r="G572" s="63" t="str">
        <f>IFERROR(INDEX(_Datos!G:G,MATCH(565,_Datos!$I:$I,0)),"")</f>
        <v/>
      </c>
      <c r="H572" s="66" t="str">
        <f>IFERROR(INDEX(_Datos!H:H,MATCH(565,_Datos!$I:$I,0)),"")</f>
        <v/>
      </c>
    </row>
    <row r="573" spans="1:8" x14ac:dyDescent="0.2">
      <c r="A573" s="67" t="str">
        <f>IFERROR(INDEX(_Datos!A:A,MATCH(566,_Datos!$I:$I,0)),"")</f>
        <v/>
      </c>
      <c r="B573" s="67" t="str">
        <f>IFERROR(INDEX(_Datos!B:B,MATCH(566,_Datos!$I:$I,0)),"")</f>
        <v/>
      </c>
      <c r="C573" s="67" t="str">
        <f>IFERROR(INDEX(_Datos!C:C,MATCH(566,_Datos!$I:$I,0)),"")</f>
        <v/>
      </c>
      <c r="D573" s="68" t="str">
        <f>IFERROR(INDEX(_Datos!D:D,MATCH(566,_Datos!$I:$I,0)),"")</f>
        <v/>
      </c>
      <c r="E573" s="69" t="str">
        <f>IFERROR(INDEX(_Datos!E:E,MATCH(566,_Datos!$I:$I,0)),"")</f>
        <v/>
      </c>
      <c r="F573" s="67" t="str">
        <f>IFERROR(INDEX(_Datos!F:F,MATCH(566,_Datos!$I:$I,0)),"")</f>
        <v/>
      </c>
      <c r="G573" s="67" t="str">
        <f>IFERROR(INDEX(_Datos!G:G,MATCH(566,_Datos!$I:$I,0)),"")</f>
        <v/>
      </c>
      <c r="H573" s="70" t="str">
        <f>IFERROR(INDEX(_Datos!H:H,MATCH(566,_Datos!$I:$I,0)),"")</f>
        <v/>
      </c>
    </row>
    <row r="574" spans="1:8" x14ac:dyDescent="0.2">
      <c r="A574" s="63" t="str">
        <f>IFERROR(INDEX(_Datos!A:A,MATCH(567,_Datos!$I:$I,0)),"")</f>
        <v/>
      </c>
      <c r="B574" s="63" t="str">
        <f>IFERROR(INDEX(_Datos!B:B,MATCH(567,_Datos!$I:$I,0)),"")</f>
        <v/>
      </c>
      <c r="C574" s="63" t="str">
        <f>IFERROR(INDEX(_Datos!C:C,MATCH(567,_Datos!$I:$I,0)),"")</f>
        <v/>
      </c>
      <c r="D574" s="64" t="str">
        <f>IFERROR(INDEX(_Datos!D:D,MATCH(567,_Datos!$I:$I,0)),"")</f>
        <v/>
      </c>
      <c r="E574" s="65" t="str">
        <f>IFERROR(INDEX(_Datos!E:E,MATCH(567,_Datos!$I:$I,0)),"")</f>
        <v/>
      </c>
      <c r="F574" s="63" t="str">
        <f>IFERROR(INDEX(_Datos!F:F,MATCH(567,_Datos!$I:$I,0)),"")</f>
        <v/>
      </c>
      <c r="G574" s="63" t="str">
        <f>IFERROR(INDEX(_Datos!G:G,MATCH(567,_Datos!$I:$I,0)),"")</f>
        <v/>
      </c>
      <c r="H574" s="66" t="str">
        <f>IFERROR(INDEX(_Datos!H:H,MATCH(567,_Datos!$I:$I,0)),"")</f>
        <v/>
      </c>
    </row>
    <row r="575" spans="1:8" x14ac:dyDescent="0.2">
      <c r="A575" s="67" t="str">
        <f>IFERROR(INDEX(_Datos!A:A,MATCH(568,_Datos!$I:$I,0)),"")</f>
        <v/>
      </c>
      <c r="B575" s="67" t="str">
        <f>IFERROR(INDEX(_Datos!B:B,MATCH(568,_Datos!$I:$I,0)),"")</f>
        <v/>
      </c>
      <c r="C575" s="67" t="str">
        <f>IFERROR(INDEX(_Datos!C:C,MATCH(568,_Datos!$I:$I,0)),"")</f>
        <v/>
      </c>
      <c r="D575" s="68" t="str">
        <f>IFERROR(INDEX(_Datos!D:D,MATCH(568,_Datos!$I:$I,0)),"")</f>
        <v/>
      </c>
      <c r="E575" s="69" t="str">
        <f>IFERROR(INDEX(_Datos!E:E,MATCH(568,_Datos!$I:$I,0)),"")</f>
        <v/>
      </c>
      <c r="F575" s="67" t="str">
        <f>IFERROR(INDEX(_Datos!F:F,MATCH(568,_Datos!$I:$I,0)),"")</f>
        <v/>
      </c>
      <c r="G575" s="67" t="str">
        <f>IFERROR(INDEX(_Datos!G:G,MATCH(568,_Datos!$I:$I,0)),"")</f>
        <v/>
      </c>
      <c r="H575" s="70" t="str">
        <f>IFERROR(INDEX(_Datos!H:H,MATCH(568,_Datos!$I:$I,0)),"")</f>
        <v/>
      </c>
    </row>
    <row r="576" spans="1:8" x14ac:dyDescent="0.2">
      <c r="A576" s="63" t="str">
        <f>IFERROR(INDEX(_Datos!A:A,MATCH(569,_Datos!$I:$I,0)),"")</f>
        <v/>
      </c>
      <c r="B576" s="63" t="str">
        <f>IFERROR(INDEX(_Datos!B:B,MATCH(569,_Datos!$I:$I,0)),"")</f>
        <v/>
      </c>
      <c r="C576" s="63" t="str">
        <f>IFERROR(INDEX(_Datos!C:C,MATCH(569,_Datos!$I:$I,0)),"")</f>
        <v/>
      </c>
      <c r="D576" s="64" t="str">
        <f>IFERROR(INDEX(_Datos!D:D,MATCH(569,_Datos!$I:$I,0)),"")</f>
        <v/>
      </c>
      <c r="E576" s="65" t="str">
        <f>IFERROR(INDEX(_Datos!E:E,MATCH(569,_Datos!$I:$I,0)),"")</f>
        <v/>
      </c>
      <c r="F576" s="63" t="str">
        <f>IFERROR(INDEX(_Datos!F:F,MATCH(569,_Datos!$I:$I,0)),"")</f>
        <v/>
      </c>
      <c r="G576" s="63" t="str">
        <f>IFERROR(INDEX(_Datos!G:G,MATCH(569,_Datos!$I:$I,0)),"")</f>
        <v/>
      </c>
      <c r="H576" s="66" t="str">
        <f>IFERROR(INDEX(_Datos!H:H,MATCH(569,_Datos!$I:$I,0)),"")</f>
        <v/>
      </c>
    </row>
    <row r="577" spans="1:8" x14ac:dyDescent="0.2">
      <c r="A577" s="67" t="str">
        <f>IFERROR(INDEX(_Datos!A:A,MATCH(570,_Datos!$I:$I,0)),"")</f>
        <v/>
      </c>
      <c r="B577" s="67" t="str">
        <f>IFERROR(INDEX(_Datos!B:B,MATCH(570,_Datos!$I:$I,0)),"")</f>
        <v/>
      </c>
      <c r="C577" s="67" t="str">
        <f>IFERROR(INDEX(_Datos!C:C,MATCH(570,_Datos!$I:$I,0)),"")</f>
        <v/>
      </c>
      <c r="D577" s="68" t="str">
        <f>IFERROR(INDEX(_Datos!D:D,MATCH(570,_Datos!$I:$I,0)),"")</f>
        <v/>
      </c>
      <c r="E577" s="69" t="str">
        <f>IFERROR(INDEX(_Datos!E:E,MATCH(570,_Datos!$I:$I,0)),"")</f>
        <v/>
      </c>
      <c r="F577" s="67" t="str">
        <f>IFERROR(INDEX(_Datos!F:F,MATCH(570,_Datos!$I:$I,0)),"")</f>
        <v/>
      </c>
      <c r="G577" s="67" t="str">
        <f>IFERROR(INDEX(_Datos!G:G,MATCH(570,_Datos!$I:$I,0)),"")</f>
        <v/>
      </c>
      <c r="H577" s="70" t="str">
        <f>IFERROR(INDEX(_Datos!H:H,MATCH(570,_Datos!$I:$I,0)),"")</f>
        <v/>
      </c>
    </row>
    <row r="578" spans="1:8" x14ac:dyDescent="0.2">
      <c r="A578" s="63" t="str">
        <f>IFERROR(INDEX(_Datos!A:A,MATCH(571,_Datos!$I:$I,0)),"")</f>
        <v/>
      </c>
      <c r="B578" s="63" t="str">
        <f>IFERROR(INDEX(_Datos!B:B,MATCH(571,_Datos!$I:$I,0)),"")</f>
        <v/>
      </c>
      <c r="C578" s="63" t="str">
        <f>IFERROR(INDEX(_Datos!C:C,MATCH(571,_Datos!$I:$I,0)),"")</f>
        <v/>
      </c>
      <c r="D578" s="64" t="str">
        <f>IFERROR(INDEX(_Datos!D:D,MATCH(571,_Datos!$I:$I,0)),"")</f>
        <v/>
      </c>
      <c r="E578" s="65" t="str">
        <f>IFERROR(INDEX(_Datos!E:E,MATCH(571,_Datos!$I:$I,0)),"")</f>
        <v/>
      </c>
      <c r="F578" s="63" t="str">
        <f>IFERROR(INDEX(_Datos!F:F,MATCH(571,_Datos!$I:$I,0)),"")</f>
        <v/>
      </c>
      <c r="G578" s="63" t="str">
        <f>IFERROR(INDEX(_Datos!G:G,MATCH(571,_Datos!$I:$I,0)),"")</f>
        <v/>
      </c>
      <c r="H578" s="66" t="str">
        <f>IFERROR(INDEX(_Datos!H:H,MATCH(571,_Datos!$I:$I,0)),"")</f>
        <v/>
      </c>
    </row>
    <row r="579" spans="1:8" x14ac:dyDescent="0.2">
      <c r="A579" s="67" t="str">
        <f>IFERROR(INDEX(_Datos!A:A,MATCH(572,_Datos!$I:$I,0)),"")</f>
        <v/>
      </c>
      <c r="B579" s="67" t="str">
        <f>IFERROR(INDEX(_Datos!B:B,MATCH(572,_Datos!$I:$I,0)),"")</f>
        <v/>
      </c>
      <c r="C579" s="67" t="str">
        <f>IFERROR(INDEX(_Datos!C:C,MATCH(572,_Datos!$I:$I,0)),"")</f>
        <v/>
      </c>
      <c r="D579" s="68" t="str">
        <f>IFERROR(INDEX(_Datos!D:D,MATCH(572,_Datos!$I:$I,0)),"")</f>
        <v/>
      </c>
      <c r="E579" s="69" t="str">
        <f>IFERROR(INDEX(_Datos!E:E,MATCH(572,_Datos!$I:$I,0)),"")</f>
        <v/>
      </c>
      <c r="F579" s="67" t="str">
        <f>IFERROR(INDEX(_Datos!F:F,MATCH(572,_Datos!$I:$I,0)),"")</f>
        <v/>
      </c>
      <c r="G579" s="67" t="str">
        <f>IFERROR(INDEX(_Datos!G:G,MATCH(572,_Datos!$I:$I,0)),"")</f>
        <v/>
      </c>
      <c r="H579" s="70" t="str">
        <f>IFERROR(INDEX(_Datos!H:H,MATCH(572,_Datos!$I:$I,0)),"")</f>
        <v/>
      </c>
    </row>
    <row r="580" spans="1:8" x14ac:dyDescent="0.2">
      <c r="A580" s="63" t="str">
        <f>IFERROR(INDEX(_Datos!A:A,MATCH(573,_Datos!$I:$I,0)),"")</f>
        <v/>
      </c>
      <c r="B580" s="63" t="str">
        <f>IFERROR(INDEX(_Datos!B:B,MATCH(573,_Datos!$I:$I,0)),"")</f>
        <v/>
      </c>
      <c r="C580" s="63" t="str">
        <f>IFERROR(INDEX(_Datos!C:C,MATCH(573,_Datos!$I:$I,0)),"")</f>
        <v/>
      </c>
      <c r="D580" s="64" t="str">
        <f>IFERROR(INDEX(_Datos!D:D,MATCH(573,_Datos!$I:$I,0)),"")</f>
        <v/>
      </c>
      <c r="E580" s="65" t="str">
        <f>IFERROR(INDEX(_Datos!E:E,MATCH(573,_Datos!$I:$I,0)),"")</f>
        <v/>
      </c>
      <c r="F580" s="63" t="str">
        <f>IFERROR(INDEX(_Datos!F:F,MATCH(573,_Datos!$I:$I,0)),"")</f>
        <v/>
      </c>
      <c r="G580" s="63" t="str">
        <f>IFERROR(INDEX(_Datos!G:G,MATCH(573,_Datos!$I:$I,0)),"")</f>
        <v/>
      </c>
      <c r="H580" s="66" t="str">
        <f>IFERROR(INDEX(_Datos!H:H,MATCH(573,_Datos!$I:$I,0)),"")</f>
        <v/>
      </c>
    </row>
    <row r="581" spans="1:8" x14ac:dyDescent="0.2">
      <c r="A581" s="67" t="str">
        <f>IFERROR(INDEX(_Datos!A:A,MATCH(574,_Datos!$I:$I,0)),"")</f>
        <v/>
      </c>
      <c r="B581" s="67" t="str">
        <f>IFERROR(INDEX(_Datos!B:B,MATCH(574,_Datos!$I:$I,0)),"")</f>
        <v/>
      </c>
      <c r="C581" s="67" t="str">
        <f>IFERROR(INDEX(_Datos!C:C,MATCH(574,_Datos!$I:$I,0)),"")</f>
        <v/>
      </c>
      <c r="D581" s="68" t="str">
        <f>IFERROR(INDEX(_Datos!D:D,MATCH(574,_Datos!$I:$I,0)),"")</f>
        <v/>
      </c>
      <c r="E581" s="69" t="str">
        <f>IFERROR(INDEX(_Datos!E:E,MATCH(574,_Datos!$I:$I,0)),"")</f>
        <v/>
      </c>
      <c r="F581" s="67" t="str">
        <f>IFERROR(INDEX(_Datos!F:F,MATCH(574,_Datos!$I:$I,0)),"")</f>
        <v/>
      </c>
      <c r="G581" s="67" t="str">
        <f>IFERROR(INDEX(_Datos!G:G,MATCH(574,_Datos!$I:$I,0)),"")</f>
        <v/>
      </c>
      <c r="H581" s="70" t="str">
        <f>IFERROR(INDEX(_Datos!H:H,MATCH(574,_Datos!$I:$I,0)),"")</f>
        <v/>
      </c>
    </row>
    <row r="582" spans="1:8" x14ac:dyDescent="0.2">
      <c r="A582" s="63" t="str">
        <f>IFERROR(INDEX(_Datos!A:A,MATCH(575,_Datos!$I:$I,0)),"")</f>
        <v/>
      </c>
      <c r="B582" s="63" t="str">
        <f>IFERROR(INDEX(_Datos!B:B,MATCH(575,_Datos!$I:$I,0)),"")</f>
        <v/>
      </c>
      <c r="C582" s="63" t="str">
        <f>IFERROR(INDEX(_Datos!C:C,MATCH(575,_Datos!$I:$I,0)),"")</f>
        <v/>
      </c>
      <c r="D582" s="64" t="str">
        <f>IFERROR(INDEX(_Datos!D:D,MATCH(575,_Datos!$I:$I,0)),"")</f>
        <v/>
      </c>
      <c r="E582" s="65" t="str">
        <f>IFERROR(INDEX(_Datos!E:E,MATCH(575,_Datos!$I:$I,0)),"")</f>
        <v/>
      </c>
      <c r="F582" s="63" t="str">
        <f>IFERROR(INDEX(_Datos!F:F,MATCH(575,_Datos!$I:$I,0)),"")</f>
        <v/>
      </c>
      <c r="G582" s="63" t="str">
        <f>IFERROR(INDEX(_Datos!G:G,MATCH(575,_Datos!$I:$I,0)),"")</f>
        <v/>
      </c>
      <c r="H582" s="66" t="str">
        <f>IFERROR(INDEX(_Datos!H:H,MATCH(575,_Datos!$I:$I,0)),"")</f>
        <v/>
      </c>
    </row>
    <row r="583" spans="1:8" x14ac:dyDescent="0.2">
      <c r="A583" s="67" t="str">
        <f>IFERROR(INDEX(_Datos!A:A,MATCH(576,_Datos!$I:$I,0)),"")</f>
        <v/>
      </c>
      <c r="B583" s="67" t="str">
        <f>IFERROR(INDEX(_Datos!B:B,MATCH(576,_Datos!$I:$I,0)),"")</f>
        <v/>
      </c>
      <c r="C583" s="67" t="str">
        <f>IFERROR(INDEX(_Datos!C:C,MATCH(576,_Datos!$I:$I,0)),"")</f>
        <v/>
      </c>
      <c r="D583" s="68" t="str">
        <f>IFERROR(INDEX(_Datos!D:D,MATCH(576,_Datos!$I:$I,0)),"")</f>
        <v/>
      </c>
      <c r="E583" s="69" t="str">
        <f>IFERROR(INDEX(_Datos!E:E,MATCH(576,_Datos!$I:$I,0)),"")</f>
        <v/>
      </c>
      <c r="F583" s="67" t="str">
        <f>IFERROR(INDEX(_Datos!F:F,MATCH(576,_Datos!$I:$I,0)),"")</f>
        <v/>
      </c>
      <c r="G583" s="67" t="str">
        <f>IFERROR(INDEX(_Datos!G:G,MATCH(576,_Datos!$I:$I,0)),"")</f>
        <v/>
      </c>
      <c r="H583" s="70" t="str">
        <f>IFERROR(INDEX(_Datos!H:H,MATCH(576,_Datos!$I:$I,0)),"")</f>
        <v/>
      </c>
    </row>
    <row r="584" spans="1:8" x14ac:dyDescent="0.2">
      <c r="A584" s="63" t="str">
        <f>IFERROR(INDEX(_Datos!A:A,MATCH(577,_Datos!$I:$I,0)),"")</f>
        <v/>
      </c>
      <c r="B584" s="63" t="str">
        <f>IFERROR(INDEX(_Datos!B:B,MATCH(577,_Datos!$I:$I,0)),"")</f>
        <v/>
      </c>
      <c r="C584" s="63" t="str">
        <f>IFERROR(INDEX(_Datos!C:C,MATCH(577,_Datos!$I:$I,0)),"")</f>
        <v/>
      </c>
      <c r="D584" s="64" t="str">
        <f>IFERROR(INDEX(_Datos!D:D,MATCH(577,_Datos!$I:$I,0)),"")</f>
        <v/>
      </c>
      <c r="E584" s="65" t="str">
        <f>IFERROR(INDEX(_Datos!E:E,MATCH(577,_Datos!$I:$I,0)),"")</f>
        <v/>
      </c>
      <c r="F584" s="63" t="str">
        <f>IFERROR(INDEX(_Datos!F:F,MATCH(577,_Datos!$I:$I,0)),"")</f>
        <v/>
      </c>
      <c r="G584" s="63" t="str">
        <f>IFERROR(INDEX(_Datos!G:G,MATCH(577,_Datos!$I:$I,0)),"")</f>
        <v/>
      </c>
      <c r="H584" s="66" t="str">
        <f>IFERROR(INDEX(_Datos!H:H,MATCH(577,_Datos!$I:$I,0)),"")</f>
        <v/>
      </c>
    </row>
    <row r="585" spans="1:8" x14ac:dyDescent="0.2">
      <c r="A585" s="67" t="str">
        <f>IFERROR(INDEX(_Datos!A:A,MATCH(578,_Datos!$I:$I,0)),"")</f>
        <v/>
      </c>
      <c r="B585" s="67" t="str">
        <f>IFERROR(INDEX(_Datos!B:B,MATCH(578,_Datos!$I:$I,0)),"")</f>
        <v/>
      </c>
      <c r="C585" s="67" t="str">
        <f>IFERROR(INDEX(_Datos!C:C,MATCH(578,_Datos!$I:$I,0)),"")</f>
        <v/>
      </c>
      <c r="D585" s="68" t="str">
        <f>IFERROR(INDEX(_Datos!D:D,MATCH(578,_Datos!$I:$I,0)),"")</f>
        <v/>
      </c>
      <c r="E585" s="69" t="str">
        <f>IFERROR(INDEX(_Datos!E:E,MATCH(578,_Datos!$I:$I,0)),"")</f>
        <v/>
      </c>
      <c r="F585" s="67" t="str">
        <f>IFERROR(INDEX(_Datos!F:F,MATCH(578,_Datos!$I:$I,0)),"")</f>
        <v/>
      </c>
      <c r="G585" s="67" t="str">
        <f>IFERROR(INDEX(_Datos!G:G,MATCH(578,_Datos!$I:$I,0)),"")</f>
        <v/>
      </c>
      <c r="H585" s="70" t="str">
        <f>IFERROR(INDEX(_Datos!H:H,MATCH(578,_Datos!$I:$I,0)),"")</f>
        <v/>
      </c>
    </row>
    <row r="586" spans="1:8" x14ac:dyDescent="0.2">
      <c r="A586" s="63" t="str">
        <f>IFERROR(INDEX(_Datos!A:A,MATCH(579,_Datos!$I:$I,0)),"")</f>
        <v/>
      </c>
      <c r="B586" s="63" t="str">
        <f>IFERROR(INDEX(_Datos!B:B,MATCH(579,_Datos!$I:$I,0)),"")</f>
        <v/>
      </c>
      <c r="C586" s="63" t="str">
        <f>IFERROR(INDEX(_Datos!C:C,MATCH(579,_Datos!$I:$I,0)),"")</f>
        <v/>
      </c>
      <c r="D586" s="64" t="str">
        <f>IFERROR(INDEX(_Datos!D:D,MATCH(579,_Datos!$I:$I,0)),"")</f>
        <v/>
      </c>
      <c r="E586" s="65" t="str">
        <f>IFERROR(INDEX(_Datos!E:E,MATCH(579,_Datos!$I:$I,0)),"")</f>
        <v/>
      </c>
      <c r="F586" s="63" t="str">
        <f>IFERROR(INDEX(_Datos!F:F,MATCH(579,_Datos!$I:$I,0)),"")</f>
        <v/>
      </c>
      <c r="G586" s="63" t="str">
        <f>IFERROR(INDEX(_Datos!G:G,MATCH(579,_Datos!$I:$I,0)),"")</f>
        <v/>
      </c>
      <c r="H586" s="66" t="str">
        <f>IFERROR(INDEX(_Datos!H:H,MATCH(579,_Datos!$I:$I,0)),"")</f>
        <v/>
      </c>
    </row>
    <row r="587" spans="1:8" x14ac:dyDescent="0.2">
      <c r="A587" s="67" t="str">
        <f>IFERROR(INDEX(_Datos!A:A,MATCH(580,_Datos!$I:$I,0)),"")</f>
        <v/>
      </c>
      <c r="B587" s="67" t="str">
        <f>IFERROR(INDEX(_Datos!B:B,MATCH(580,_Datos!$I:$I,0)),"")</f>
        <v/>
      </c>
      <c r="C587" s="67" t="str">
        <f>IFERROR(INDEX(_Datos!C:C,MATCH(580,_Datos!$I:$I,0)),"")</f>
        <v/>
      </c>
      <c r="D587" s="68" t="str">
        <f>IFERROR(INDEX(_Datos!D:D,MATCH(580,_Datos!$I:$I,0)),"")</f>
        <v/>
      </c>
      <c r="E587" s="69" t="str">
        <f>IFERROR(INDEX(_Datos!E:E,MATCH(580,_Datos!$I:$I,0)),"")</f>
        <v/>
      </c>
      <c r="F587" s="67" t="str">
        <f>IFERROR(INDEX(_Datos!F:F,MATCH(580,_Datos!$I:$I,0)),"")</f>
        <v/>
      </c>
      <c r="G587" s="67" t="str">
        <f>IFERROR(INDEX(_Datos!G:G,MATCH(580,_Datos!$I:$I,0)),"")</f>
        <v/>
      </c>
      <c r="H587" s="70" t="str">
        <f>IFERROR(INDEX(_Datos!H:H,MATCH(580,_Datos!$I:$I,0)),"")</f>
        <v/>
      </c>
    </row>
    <row r="588" spans="1:8" x14ac:dyDescent="0.2">
      <c r="A588" s="63" t="str">
        <f>IFERROR(INDEX(_Datos!A:A,MATCH(581,_Datos!$I:$I,0)),"")</f>
        <v/>
      </c>
      <c r="B588" s="63" t="str">
        <f>IFERROR(INDEX(_Datos!B:B,MATCH(581,_Datos!$I:$I,0)),"")</f>
        <v/>
      </c>
      <c r="C588" s="63" t="str">
        <f>IFERROR(INDEX(_Datos!C:C,MATCH(581,_Datos!$I:$I,0)),"")</f>
        <v/>
      </c>
      <c r="D588" s="64" t="str">
        <f>IFERROR(INDEX(_Datos!D:D,MATCH(581,_Datos!$I:$I,0)),"")</f>
        <v/>
      </c>
      <c r="E588" s="65" t="str">
        <f>IFERROR(INDEX(_Datos!E:E,MATCH(581,_Datos!$I:$I,0)),"")</f>
        <v/>
      </c>
      <c r="F588" s="63" t="str">
        <f>IFERROR(INDEX(_Datos!F:F,MATCH(581,_Datos!$I:$I,0)),"")</f>
        <v/>
      </c>
      <c r="G588" s="63" t="str">
        <f>IFERROR(INDEX(_Datos!G:G,MATCH(581,_Datos!$I:$I,0)),"")</f>
        <v/>
      </c>
      <c r="H588" s="66" t="str">
        <f>IFERROR(INDEX(_Datos!H:H,MATCH(581,_Datos!$I:$I,0)),"")</f>
        <v/>
      </c>
    </row>
    <row r="589" spans="1:8" x14ac:dyDescent="0.2">
      <c r="A589" s="67" t="str">
        <f>IFERROR(INDEX(_Datos!A:A,MATCH(582,_Datos!$I:$I,0)),"")</f>
        <v/>
      </c>
      <c r="B589" s="67" t="str">
        <f>IFERROR(INDEX(_Datos!B:B,MATCH(582,_Datos!$I:$I,0)),"")</f>
        <v/>
      </c>
      <c r="C589" s="67" t="str">
        <f>IFERROR(INDEX(_Datos!C:C,MATCH(582,_Datos!$I:$I,0)),"")</f>
        <v/>
      </c>
      <c r="D589" s="68" t="str">
        <f>IFERROR(INDEX(_Datos!D:D,MATCH(582,_Datos!$I:$I,0)),"")</f>
        <v/>
      </c>
      <c r="E589" s="69" t="str">
        <f>IFERROR(INDEX(_Datos!E:E,MATCH(582,_Datos!$I:$I,0)),"")</f>
        <v/>
      </c>
      <c r="F589" s="67" t="str">
        <f>IFERROR(INDEX(_Datos!F:F,MATCH(582,_Datos!$I:$I,0)),"")</f>
        <v/>
      </c>
      <c r="G589" s="67" t="str">
        <f>IFERROR(INDEX(_Datos!G:G,MATCH(582,_Datos!$I:$I,0)),"")</f>
        <v/>
      </c>
      <c r="H589" s="70" t="str">
        <f>IFERROR(INDEX(_Datos!H:H,MATCH(582,_Datos!$I:$I,0)),"")</f>
        <v/>
      </c>
    </row>
    <row r="590" spans="1:8" x14ac:dyDescent="0.2">
      <c r="A590" s="63" t="str">
        <f>IFERROR(INDEX(_Datos!A:A,MATCH(583,_Datos!$I:$I,0)),"")</f>
        <v/>
      </c>
      <c r="B590" s="63" t="str">
        <f>IFERROR(INDEX(_Datos!B:B,MATCH(583,_Datos!$I:$I,0)),"")</f>
        <v/>
      </c>
      <c r="C590" s="63" t="str">
        <f>IFERROR(INDEX(_Datos!C:C,MATCH(583,_Datos!$I:$I,0)),"")</f>
        <v/>
      </c>
      <c r="D590" s="64" t="str">
        <f>IFERROR(INDEX(_Datos!D:D,MATCH(583,_Datos!$I:$I,0)),"")</f>
        <v/>
      </c>
      <c r="E590" s="65" t="str">
        <f>IFERROR(INDEX(_Datos!E:E,MATCH(583,_Datos!$I:$I,0)),"")</f>
        <v/>
      </c>
      <c r="F590" s="63" t="str">
        <f>IFERROR(INDEX(_Datos!F:F,MATCH(583,_Datos!$I:$I,0)),"")</f>
        <v/>
      </c>
      <c r="G590" s="63" t="str">
        <f>IFERROR(INDEX(_Datos!G:G,MATCH(583,_Datos!$I:$I,0)),"")</f>
        <v/>
      </c>
      <c r="H590" s="66" t="str">
        <f>IFERROR(INDEX(_Datos!H:H,MATCH(583,_Datos!$I:$I,0)),"")</f>
        <v/>
      </c>
    </row>
    <row r="591" spans="1:8" x14ac:dyDescent="0.2">
      <c r="A591" s="67" t="str">
        <f>IFERROR(INDEX(_Datos!A:A,MATCH(584,_Datos!$I:$I,0)),"")</f>
        <v/>
      </c>
      <c r="B591" s="67" t="str">
        <f>IFERROR(INDEX(_Datos!B:B,MATCH(584,_Datos!$I:$I,0)),"")</f>
        <v/>
      </c>
      <c r="C591" s="67" t="str">
        <f>IFERROR(INDEX(_Datos!C:C,MATCH(584,_Datos!$I:$I,0)),"")</f>
        <v/>
      </c>
      <c r="D591" s="68" t="str">
        <f>IFERROR(INDEX(_Datos!D:D,MATCH(584,_Datos!$I:$I,0)),"")</f>
        <v/>
      </c>
      <c r="E591" s="69" t="str">
        <f>IFERROR(INDEX(_Datos!E:E,MATCH(584,_Datos!$I:$I,0)),"")</f>
        <v/>
      </c>
      <c r="F591" s="67" t="str">
        <f>IFERROR(INDEX(_Datos!F:F,MATCH(584,_Datos!$I:$I,0)),"")</f>
        <v/>
      </c>
      <c r="G591" s="67" t="str">
        <f>IFERROR(INDEX(_Datos!G:G,MATCH(584,_Datos!$I:$I,0)),"")</f>
        <v/>
      </c>
      <c r="H591" s="70" t="str">
        <f>IFERROR(INDEX(_Datos!H:H,MATCH(584,_Datos!$I:$I,0)),"")</f>
        <v/>
      </c>
    </row>
    <row r="592" spans="1:8" x14ac:dyDescent="0.2">
      <c r="A592" s="63" t="str">
        <f>IFERROR(INDEX(_Datos!A:A,MATCH(585,_Datos!$I:$I,0)),"")</f>
        <v/>
      </c>
      <c r="B592" s="63" t="str">
        <f>IFERROR(INDEX(_Datos!B:B,MATCH(585,_Datos!$I:$I,0)),"")</f>
        <v/>
      </c>
      <c r="C592" s="63" t="str">
        <f>IFERROR(INDEX(_Datos!C:C,MATCH(585,_Datos!$I:$I,0)),"")</f>
        <v/>
      </c>
      <c r="D592" s="64" t="str">
        <f>IFERROR(INDEX(_Datos!D:D,MATCH(585,_Datos!$I:$I,0)),"")</f>
        <v/>
      </c>
      <c r="E592" s="65" t="str">
        <f>IFERROR(INDEX(_Datos!E:E,MATCH(585,_Datos!$I:$I,0)),"")</f>
        <v/>
      </c>
      <c r="F592" s="63" t="str">
        <f>IFERROR(INDEX(_Datos!F:F,MATCH(585,_Datos!$I:$I,0)),"")</f>
        <v/>
      </c>
      <c r="G592" s="63" t="str">
        <f>IFERROR(INDEX(_Datos!G:G,MATCH(585,_Datos!$I:$I,0)),"")</f>
        <v/>
      </c>
      <c r="H592" s="66" t="str">
        <f>IFERROR(INDEX(_Datos!H:H,MATCH(585,_Datos!$I:$I,0)),"")</f>
        <v/>
      </c>
    </row>
    <row r="593" spans="1:8" x14ac:dyDescent="0.2">
      <c r="A593" s="67" t="str">
        <f>IFERROR(INDEX(_Datos!A:A,MATCH(586,_Datos!$I:$I,0)),"")</f>
        <v/>
      </c>
      <c r="B593" s="67" t="str">
        <f>IFERROR(INDEX(_Datos!B:B,MATCH(586,_Datos!$I:$I,0)),"")</f>
        <v/>
      </c>
      <c r="C593" s="67" t="str">
        <f>IFERROR(INDEX(_Datos!C:C,MATCH(586,_Datos!$I:$I,0)),"")</f>
        <v/>
      </c>
      <c r="D593" s="68" t="str">
        <f>IFERROR(INDEX(_Datos!D:D,MATCH(586,_Datos!$I:$I,0)),"")</f>
        <v/>
      </c>
      <c r="E593" s="69" t="str">
        <f>IFERROR(INDEX(_Datos!E:E,MATCH(586,_Datos!$I:$I,0)),"")</f>
        <v/>
      </c>
      <c r="F593" s="67" t="str">
        <f>IFERROR(INDEX(_Datos!F:F,MATCH(586,_Datos!$I:$I,0)),"")</f>
        <v/>
      </c>
      <c r="G593" s="67" t="str">
        <f>IFERROR(INDEX(_Datos!G:G,MATCH(586,_Datos!$I:$I,0)),"")</f>
        <v/>
      </c>
      <c r="H593" s="70" t="str">
        <f>IFERROR(INDEX(_Datos!H:H,MATCH(586,_Datos!$I:$I,0)),"")</f>
        <v/>
      </c>
    </row>
    <row r="594" spans="1:8" x14ac:dyDescent="0.2">
      <c r="A594" s="63" t="str">
        <f>IFERROR(INDEX(_Datos!A:A,MATCH(587,_Datos!$I:$I,0)),"")</f>
        <v/>
      </c>
      <c r="B594" s="63" t="str">
        <f>IFERROR(INDEX(_Datos!B:B,MATCH(587,_Datos!$I:$I,0)),"")</f>
        <v/>
      </c>
      <c r="C594" s="63" t="str">
        <f>IFERROR(INDEX(_Datos!C:C,MATCH(587,_Datos!$I:$I,0)),"")</f>
        <v/>
      </c>
      <c r="D594" s="64" t="str">
        <f>IFERROR(INDEX(_Datos!D:D,MATCH(587,_Datos!$I:$I,0)),"")</f>
        <v/>
      </c>
      <c r="E594" s="65" t="str">
        <f>IFERROR(INDEX(_Datos!E:E,MATCH(587,_Datos!$I:$I,0)),"")</f>
        <v/>
      </c>
      <c r="F594" s="63" t="str">
        <f>IFERROR(INDEX(_Datos!F:F,MATCH(587,_Datos!$I:$I,0)),"")</f>
        <v/>
      </c>
      <c r="G594" s="63" t="str">
        <f>IFERROR(INDEX(_Datos!G:G,MATCH(587,_Datos!$I:$I,0)),"")</f>
        <v/>
      </c>
      <c r="H594" s="66" t="str">
        <f>IFERROR(INDEX(_Datos!H:H,MATCH(587,_Datos!$I:$I,0)),"")</f>
        <v/>
      </c>
    </row>
    <row r="595" spans="1:8" x14ac:dyDescent="0.2">
      <c r="A595" s="67" t="str">
        <f>IFERROR(INDEX(_Datos!A:A,MATCH(588,_Datos!$I:$I,0)),"")</f>
        <v/>
      </c>
      <c r="B595" s="67" t="str">
        <f>IFERROR(INDEX(_Datos!B:B,MATCH(588,_Datos!$I:$I,0)),"")</f>
        <v/>
      </c>
      <c r="C595" s="67" t="str">
        <f>IFERROR(INDEX(_Datos!C:C,MATCH(588,_Datos!$I:$I,0)),"")</f>
        <v/>
      </c>
      <c r="D595" s="68" t="str">
        <f>IFERROR(INDEX(_Datos!D:D,MATCH(588,_Datos!$I:$I,0)),"")</f>
        <v/>
      </c>
      <c r="E595" s="69" t="str">
        <f>IFERROR(INDEX(_Datos!E:E,MATCH(588,_Datos!$I:$I,0)),"")</f>
        <v/>
      </c>
      <c r="F595" s="67" t="str">
        <f>IFERROR(INDEX(_Datos!F:F,MATCH(588,_Datos!$I:$I,0)),"")</f>
        <v/>
      </c>
      <c r="G595" s="67" t="str">
        <f>IFERROR(INDEX(_Datos!G:G,MATCH(588,_Datos!$I:$I,0)),"")</f>
        <v/>
      </c>
      <c r="H595" s="70" t="str">
        <f>IFERROR(INDEX(_Datos!H:H,MATCH(588,_Datos!$I:$I,0)),"")</f>
        <v/>
      </c>
    </row>
    <row r="596" spans="1:8" x14ac:dyDescent="0.2">
      <c r="A596" s="63" t="str">
        <f>IFERROR(INDEX(_Datos!A:A,MATCH(589,_Datos!$I:$I,0)),"")</f>
        <v/>
      </c>
      <c r="B596" s="63" t="str">
        <f>IFERROR(INDEX(_Datos!B:B,MATCH(589,_Datos!$I:$I,0)),"")</f>
        <v/>
      </c>
      <c r="C596" s="63" t="str">
        <f>IFERROR(INDEX(_Datos!C:C,MATCH(589,_Datos!$I:$I,0)),"")</f>
        <v/>
      </c>
      <c r="D596" s="64" t="str">
        <f>IFERROR(INDEX(_Datos!D:D,MATCH(589,_Datos!$I:$I,0)),"")</f>
        <v/>
      </c>
      <c r="E596" s="65" t="str">
        <f>IFERROR(INDEX(_Datos!E:E,MATCH(589,_Datos!$I:$I,0)),"")</f>
        <v/>
      </c>
      <c r="F596" s="63" t="str">
        <f>IFERROR(INDEX(_Datos!F:F,MATCH(589,_Datos!$I:$I,0)),"")</f>
        <v/>
      </c>
      <c r="G596" s="63" t="str">
        <f>IFERROR(INDEX(_Datos!G:G,MATCH(589,_Datos!$I:$I,0)),"")</f>
        <v/>
      </c>
      <c r="H596" s="66" t="str">
        <f>IFERROR(INDEX(_Datos!H:H,MATCH(589,_Datos!$I:$I,0)),"")</f>
        <v/>
      </c>
    </row>
    <row r="597" spans="1:8" x14ac:dyDescent="0.2">
      <c r="A597" s="67" t="str">
        <f>IFERROR(INDEX(_Datos!A:A,MATCH(590,_Datos!$I:$I,0)),"")</f>
        <v/>
      </c>
      <c r="B597" s="67" t="str">
        <f>IFERROR(INDEX(_Datos!B:B,MATCH(590,_Datos!$I:$I,0)),"")</f>
        <v/>
      </c>
      <c r="C597" s="67" t="str">
        <f>IFERROR(INDEX(_Datos!C:C,MATCH(590,_Datos!$I:$I,0)),"")</f>
        <v/>
      </c>
      <c r="D597" s="68" t="str">
        <f>IFERROR(INDEX(_Datos!D:D,MATCH(590,_Datos!$I:$I,0)),"")</f>
        <v/>
      </c>
      <c r="E597" s="69" t="str">
        <f>IFERROR(INDEX(_Datos!E:E,MATCH(590,_Datos!$I:$I,0)),"")</f>
        <v/>
      </c>
      <c r="F597" s="67" t="str">
        <f>IFERROR(INDEX(_Datos!F:F,MATCH(590,_Datos!$I:$I,0)),"")</f>
        <v/>
      </c>
      <c r="G597" s="67" t="str">
        <f>IFERROR(INDEX(_Datos!G:G,MATCH(590,_Datos!$I:$I,0)),"")</f>
        <v/>
      </c>
      <c r="H597" s="70" t="str">
        <f>IFERROR(INDEX(_Datos!H:H,MATCH(590,_Datos!$I:$I,0)),"")</f>
        <v/>
      </c>
    </row>
    <row r="598" spans="1:8" x14ac:dyDescent="0.2">
      <c r="A598" s="63" t="str">
        <f>IFERROR(INDEX(_Datos!A:A,MATCH(591,_Datos!$I:$I,0)),"")</f>
        <v/>
      </c>
      <c r="B598" s="63" t="str">
        <f>IFERROR(INDEX(_Datos!B:B,MATCH(591,_Datos!$I:$I,0)),"")</f>
        <v/>
      </c>
      <c r="C598" s="63" t="str">
        <f>IFERROR(INDEX(_Datos!C:C,MATCH(591,_Datos!$I:$I,0)),"")</f>
        <v/>
      </c>
      <c r="D598" s="64" t="str">
        <f>IFERROR(INDEX(_Datos!D:D,MATCH(591,_Datos!$I:$I,0)),"")</f>
        <v/>
      </c>
      <c r="E598" s="65" t="str">
        <f>IFERROR(INDEX(_Datos!E:E,MATCH(591,_Datos!$I:$I,0)),"")</f>
        <v/>
      </c>
      <c r="F598" s="63" t="str">
        <f>IFERROR(INDEX(_Datos!F:F,MATCH(591,_Datos!$I:$I,0)),"")</f>
        <v/>
      </c>
      <c r="G598" s="63" t="str">
        <f>IFERROR(INDEX(_Datos!G:G,MATCH(591,_Datos!$I:$I,0)),"")</f>
        <v/>
      </c>
      <c r="H598" s="66" t="str">
        <f>IFERROR(INDEX(_Datos!H:H,MATCH(591,_Datos!$I:$I,0)),"")</f>
        <v/>
      </c>
    </row>
    <row r="599" spans="1:8" x14ac:dyDescent="0.2">
      <c r="A599" s="67" t="str">
        <f>IFERROR(INDEX(_Datos!A:A,MATCH(592,_Datos!$I:$I,0)),"")</f>
        <v/>
      </c>
      <c r="B599" s="67" t="str">
        <f>IFERROR(INDEX(_Datos!B:B,MATCH(592,_Datos!$I:$I,0)),"")</f>
        <v/>
      </c>
      <c r="C599" s="67" t="str">
        <f>IFERROR(INDEX(_Datos!C:C,MATCH(592,_Datos!$I:$I,0)),"")</f>
        <v/>
      </c>
      <c r="D599" s="68" t="str">
        <f>IFERROR(INDEX(_Datos!D:D,MATCH(592,_Datos!$I:$I,0)),"")</f>
        <v/>
      </c>
      <c r="E599" s="69" t="str">
        <f>IFERROR(INDEX(_Datos!E:E,MATCH(592,_Datos!$I:$I,0)),"")</f>
        <v/>
      </c>
      <c r="F599" s="67" t="str">
        <f>IFERROR(INDEX(_Datos!F:F,MATCH(592,_Datos!$I:$I,0)),"")</f>
        <v/>
      </c>
      <c r="G599" s="67" t="str">
        <f>IFERROR(INDEX(_Datos!G:G,MATCH(592,_Datos!$I:$I,0)),"")</f>
        <v/>
      </c>
      <c r="H599" s="70" t="str">
        <f>IFERROR(INDEX(_Datos!H:H,MATCH(592,_Datos!$I:$I,0)),"")</f>
        <v/>
      </c>
    </row>
    <row r="600" spans="1:8" x14ac:dyDescent="0.2">
      <c r="A600" s="63" t="str">
        <f>IFERROR(INDEX(_Datos!A:A,MATCH(593,_Datos!$I:$I,0)),"")</f>
        <v/>
      </c>
      <c r="B600" s="63" t="str">
        <f>IFERROR(INDEX(_Datos!B:B,MATCH(593,_Datos!$I:$I,0)),"")</f>
        <v/>
      </c>
      <c r="C600" s="63" t="str">
        <f>IFERROR(INDEX(_Datos!C:C,MATCH(593,_Datos!$I:$I,0)),"")</f>
        <v/>
      </c>
      <c r="D600" s="64" t="str">
        <f>IFERROR(INDEX(_Datos!D:D,MATCH(593,_Datos!$I:$I,0)),"")</f>
        <v/>
      </c>
      <c r="E600" s="65" t="str">
        <f>IFERROR(INDEX(_Datos!E:E,MATCH(593,_Datos!$I:$I,0)),"")</f>
        <v/>
      </c>
      <c r="F600" s="63" t="str">
        <f>IFERROR(INDEX(_Datos!F:F,MATCH(593,_Datos!$I:$I,0)),"")</f>
        <v/>
      </c>
      <c r="G600" s="63" t="str">
        <f>IFERROR(INDEX(_Datos!G:G,MATCH(593,_Datos!$I:$I,0)),"")</f>
        <v/>
      </c>
      <c r="H600" s="66" t="str">
        <f>IFERROR(INDEX(_Datos!H:H,MATCH(593,_Datos!$I:$I,0)),"")</f>
        <v/>
      </c>
    </row>
    <row r="601" spans="1:8" x14ac:dyDescent="0.2">
      <c r="A601" s="67" t="str">
        <f>IFERROR(INDEX(_Datos!A:A,MATCH(594,_Datos!$I:$I,0)),"")</f>
        <v/>
      </c>
      <c r="B601" s="67" t="str">
        <f>IFERROR(INDEX(_Datos!B:B,MATCH(594,_Datos!$I:$I,0)),"")</f>
        <v/>
      </c>
      <c r="C601" s="67" t="str">
        <f>IFERROR(INDEX(_Datos!C:C,MATCH(594,_Datos!$I:$I,0)),"")</f>
        <v/>
      </c>
      <c r="D601" s="68" t="str">
        <f>IFERROR(INDEX(_Datos!D:D,MATCH(594,_Datos!$I:$I,0)),"")</f>
        <v/>
      </c>
      <c r="E601" s="69" t="str">
        <f>IFERROR(INDEX(_Datos!E:E,MATCH(594,_Datos!$I:$I,0)),"")</f>
        <v/>
      </c>
      <c r="F601" s="67" t="str">
        <f>IFERROR(INDEX(_Datos!F:F,MATCH(594,_Datos!$I:$I,0)),"")</f>
        <v/>
      </c>
      <c r="G601" s="67" t="str">
        <f>IFERROR(INDEX(_Datos!G:G,MATCH(594,_Datos!$I:$I,0)),"")</f>
        <v/>
      </c>
      <c r="H601" s="70" t="str">
        <f>IFERROR(INDEX(_Datos!H:H,MATCH(594,_Datos!$I:$I,0)),"")</f>
        <v/>
      </c>
    </row>
    <row r="602" spans="1:8" x14ac:dyDescent="0.2">
      <c r="A602" s="63" t="str">
        <f>IFERROR(INDEX(_Datos!A:A,MATCH(595,_Datos!$I:$I,0)),"")</f>
        <v/>
      </c>
      <c r="B602" s="63" t="str">
        <f>IFERROR(INDEX(_Datos!B:B,MATCH(595,_Datos!$I:$I,0)),"")</f>
        <v/>
      </c>
      <c r="C602" s="63" t="str">
        <f>IFERROR(INDEX(_Datos!C:C,MATCH(595,_Datos!$I:$I,0)),"")</f>
        <v/>
      </c>
      <c r="D602" s="64" t="str">
        <f>IFERROR(INDEX(_Datos!D:D,MATCH(595,_Datos!$I:$I,0)),"")</f>
        <v/>
      </c>
      <c r="E602" s="65" t="str">
        <f>IFERROR(INDEX(_Datos!E:E,MATCH(595,_Datos!$I:$I,0)),"")</f>
        <v/>
      </c>
      <c r="F602" s="63" t="str">
        <f>IFERROR(INDEX(_Datos!F:F,MATCH(595,_Datos!$I:$I,0)),"")</f>
        <v/>
      </c>
      <c r="G602" s="63" t="str">
        <f>IFERROR(INDEX(_Datos!G:G,MATCH(595,_Datos!$I:$I,0)),"")</f>
        <v/>
      </c>
      <c r="H602" s="66" t="str">
        <f>IFERROR(INDEX(_Datos!H:H,MATCH(595,_Datos!$I:$I,0)),"")</f>
        <v/>
      </c>
    </row>
    <row r="603" spans="1:8" x14ac:dyDescent="0.2">
      <c r="A603" s="67" t="str">
        <f>IFERROR(INDEX(_Datos!A:A,MATCH(596,_Datos!$I:$I,0)),"")</f>
        <v/>
      </c>
      <c r="B603" s="67" t="str">
        <f>IFERROR(INDEX(_Datos!B:B,MATCH(596,_Datos!$I:$I,0)),"")</f>
        <v/>
      </c>
      <c r="C603" s="67" t="str">
        <f>IFERROR(INDEX(_Datos!C:C,MATCH(596,_Datos!$I:$I,0)),"")</f>
        <v/>
      </c>
      <c r="D603" s="68" t="str">
        <f>IFERROR(INDEX(_Datos!D:D,MATCH(596,_Datos!$I:$I,0)),"")</f>
        <v/>
      </c>
      <c r="E603" s="69" t="str">
        <f>IFERROR(INDEX(_Datos!E:E,MATCH(596,_Datos!$I:$I,0)),"")</f>
        <v/>
      </c>
      <c r="F603" s="67" t="str">
        <f>IFERROR(INDEX(_Datos!F:F,MATCH(596,_Datos!$I:$I,0)),"")</f>
        <v/>
      </c>
      <c r="G603" s="67" t="str">
        <f>IFERROR(INDEX(_Datos!G:G,MATCH(596,_Datos!$I:$I,0)),"")</f>
        <v/>
      </c>
      <c r="H603" s="70" t="str">
        <f>IFERROR(INDEX(_Datos!H:H,MATCH(596,_Datos!$I:$I,0)),"")</f>
        <v/>
      </c>
    </row>
    <row r="604" spans="1:8" x14ac:dyDescent="0.2">
      <c r="A604" s="63" t="str">
        <f>IFERROR(INDEX(_Datos!A:A,MATCH(597,_Datos!$I:$I,0)),"")</f>
        <v/>
      </c>
      <c r="B604" s="63" t="str">
        <f>IFERROR(INDEX(_Datos!B:B,MATCH(597,_Datos!$I:$I,0)),"")</f>
        <v/>
      </c>
      <c r="C604" s="63" t="str">
        <f>IFERROR(INDEX(_Datos!C:C,MATCH(597,_Datos!$I:$I,0)),"")</f>
        <v/>
      </c>
      <c r="D604" s="64" t="str">
        <f>IFERROR(INDEX(_Datos!D:D,MATCH(597,_Datos!$I:$I,0)),"")</f>
        <v/>
      </c>
      <c r="E604" s="65" t="str">
        <f>IFERROR(INDEX(_Datos!E:E,MATCH(597,_Datos!$I:$I,0)),"")</f>
        <v/>
      </c>
      <c r="F604" s="63" t="str">
        <f>IFERROR(INDEX(_Datos!F:F,MATCH(597,_Datos!$I:$I,0)),"")</f>
        <v/>
      </c>
      <c r="G604" s="63" t="str">
        <f>IFERROR(INDEX(_Datos!G:G,MATCH(597,_Datos!$I:$I,0)),"")</f>
        <v/>
      </c>
      <c r="H604" s="66" t="str">
        <f>IFERROR(INDEX(_Datos!H:H,MATCH(597,_Datos!$I:$I,0)),"")</f>
        <v/>
      </c>
    </row>
    <row r="605" spans="1:8" x14ac:dyDescent="0.2">
      <c r="A605" s="67" t="str">
        <f>IFERROR(INDEX(_Datos!A:A,MATCH(598,_Datos!$I:$I,0)),"")</f>
        <v/>
      </c>
      <c r="B605" s="67" t="str">
        <f>IFERROR(INDEX(_Datos!B:B,MATCH(598,_Datos!$I:$I,0)),"")</f>
        <v/>
      </c>
      <c r="C605" s="67" t="str">
        <f>IFERROR(INDEX(_Datos!C:C,MATCH(598,_Datos!$I:$I,0)),"")</f>
        <v/>
      </c>
      <c r="D605" s="68" t="str">
        <f>IFERROR(INDEX(_Datos!D:D,MATCH(598,_Datos!$I:$I,0)),"")</f>
        <v/>
      </c>
      <c r="E605" s="69" t="str">
        <f>IFERROR(INDEX(_Datos!E:E,MATCH(598,_Datos!$I:$I,0)),"")</f>
        <v/>
      </c>
      <c r="F605" s="67" t="str">
        <f>IFERROR(INDEX(_Datos!F:F,MATCH(598,_Datos!$I:$I,0)),"")</f>
        <v/>
      </c>
      <c r="G605" s="67" t="str">
        <f>IFERROR(INDEX(_Datos!G:G,MATCH(598,_Datos!$I:$I,0)),"")</f>
        <v/>
      </c>
      <c r="H605" s="70" t="str">
        <f>IFERROR(INDEX(_Datos!H:H,MATCH(598,_Datos!$I:$I,0)),"")</f>
        <v/>
      </c>
    </row>
    <row r="606" spans="1:8" x14ac:dyDescent="0.2">
      <c r="A606" s="63" t="str">
        <f>IFERROR(INDEX(_Datos!A:A,MATCH(599,_Datos!$I:$I,0)),"")</f>
        <v/>
      </c>
      <c r="B606" s="63" t="str">
        <f>IFERROR(INDEX(_Datos!B:B,MATCH(599,_Datos!$I:$I,0)),"")</f>
        <v/>
      </c>
      <c r="C606" s="63" t="str">
        <f>IFERROR(INDEX(_Datos!C:C,MATCH(599,_Datos!$I:$I,0)),"")</f>
        <v/>
      </c>
      <c r="D606" s="64" t="str">
        <f>IFERROR(INDEX(_Datos!D:D,MATCH(599,_Datos!$I:$I,0)),"")</f>
        <v/>
      </c>
      <c r="E606" s="65" t="str">
        <f>IFERROR(INDEX(_Datos!E:E,MATCH(599,_Datos!$I:$I,0)),"")</f>
        <v/>
      </c>
      <c r="F606" s="63" t="str">
        <f>IFERROR(INDEX(_Datos!F:F,MATCH(599,_Datos!$I:$I,0)),"")</f>
        <v/>
      </c>
      <c r="G606" s="63" t="str">
        <f>IFERROR(INDEX(_Datos!G:G,MATCH(599,_Datos!$I:$I,0)),"")</f>
        <v/>
      </c>
      <c r="H606" s="66" t="str">
        <f>IFERROR(INDEX(_Datos!H:H,MATCH(599,_Datos!$I:$I,0)),"")</f>
        <v/>
      </c>
    </row>
    <row r="607" spans="1:8" x14ac:dyDescent="0.2">
      <c r="A607" s="67" t="str">
        <f>IFERROR(INDEX(_Datos!A:A,MATCH(600,_Datos!$I:$I,0)),"")</f>
        <v/>
      </c>
      <c r="B607" s="67" t="str">
        <f>IFERROR(INDEX(_Datos!B:B,MATCH(600,_Datos!$I:$I,0)),"")</f>
        <v/>
      </c>
      <c r="C607" s="67" t="str">
        <f>IFERROR(INDEX(_Datos!C:C,MATCH(600,_Datos!$I:$I,0)),"")</f>
        <v/>
      </c>
      <c r="D607" s="68" t="str">
        <f>IFERROR(INDEX(_Datos!D:D,MATCH(600,_Datos!$I:$I,0)),"")</f>
        <v/>
      </c>
      <c r="E607" s="69" t="str">
        <f>IFERROR(INDEX(_Datos!E:E,MATCH(600,_Datos!$I:$I,0)),"")</f>
        <v/>
      </c>
      <c r="F607" s="67" t="str">
        <f>IFERROR(INDEX(_Datos!F:F,MATCH(600,_Datos!$I:$I,0)),"")</f>
        <v/>
      </c>
      <c r="G607" s="67" t="str">
        <f>IFERROR(INDEX(_Datos!G:G,MATCH(600,_Datos!$I:$I,0)),"")</f>
        <v/>
      </c>
      <c r="H607" s="70" t="str">
        <f>IFERROR(INDEX(_Datos!H:H,MATCH(600,_Datos!$I:$I,0)),"")</f>
        <v/>
      </c>
    </row>
    <row r="608" spans="1:8" x14ac:dyDescent="0.2">
      <c r="A608" s="63" t="str">
        <f>IFERROR(INDEX(_Datos!A:A,MATCH(601,_Datos!$I:$I,0)),"")</f>
        <v/>
      </c>
      <c r="B608" s="63" t="str">
        <f>IFERROR(INDEX(_Datos!B:B,MATCH(601,_Datos!$I:$I,0)),"")</f>
        <v/>
      </c>
      <c r="C608" s="63" t="str">
        <f>IFERROR(INDEX(_Datos!C:C,MATCH(601,_Datos!$I:$I,0)),"")</f>
        <v/>
      </c>
      <c r="D608" s="64" t="str">
        <f>IFERROR(INDEX(_Datos!D:D,MATCH(601,_Datos!$I:$I,0)),"")</f>
        <v/>
      </c>
      <c r="E608" s="65" t="str">
        <f>IFERROR(INDEX(_Datos!E:E,MATCH(601,_Datos!$I:$I,0)),"")</f>
        <v/>
      </c>
      <c r="F608" s="63" t="str">
        <f>IFERROR(INDEX(_Datos!F:F,MATCH(601,_Datos!$I:$I,0)),"")</f>
        <v/>
      </c>
      <c r="G608" s="63" t="str">
        <f>IFERROR(INDEX(_Datos!G:G,MATCH(601,_Datos!$I:$I,0)),"")</f>
        <v/>
      </c>
      <c r="H608" s="66" t="str">
        <f>IFERROR(INDEX(_Datos!H:H,MATCH(601,_Datos!$I:$I,0)),"")</f>
        <v/>
      </c>
    </row>
    <row r="609" spans="1:8" x14ac:dyDescent="0.2">
      <c r="A609" s="67" t="str">
        <f>IFERROR(INDEX(_Datos!A:A,MATCH(602,_Datos!$I:$I,0)),"")</f>
        <v/>
      </c>
      <c r="B609" s="67" t="str">
        <f>IFERROR(INDEX(_Datos!B:B,MATCH(602,_Datos!$I:$I,0)),"")</f>
        <v/>
      </c>
      <c r="C609" s="67" t="str">
        <f>IFERROR(INDEX(_Datos!C:C,MATCH(602,_Datos!$I:$I,0)),"")</f>
        <v/>
      </c>
      <c r="D609" s="68" t="str">
        <f>IFERROR(INDEX(_Datos!D:D,MATCH(602,_Datos!$I:$I,0)),"")</f>
        <v/>
      </c>
      <c r="E609" s="69" t="str">
        <f>IFERROR(INDEX(_Datos!E:E,MATCH(602,_Datos!$I:$I,0)),"")</f>
        <v/>
      </c>
      <c r="F609" s="67" t="str">
        <f>IFERROR(INDEX(_Datos!F:F,MATCH(602,_Datos!$I:$I,0)),"")</f>
        <v/>
      </c>
      <c r="G609" s="67" t="str">
        <f>IFERROR(INDEX(_Datos!G:G,MATCH(602,_Datos!$I:$I,0)),"")</f>
        <v/>
      </c>
      <c r="H609" s="70" t="str">
        <f>IFERROR(INDEX(_Datos!H:H,MATCH(602,_Datos!$I:$I,0)),"")</f>
        <v/>
      </c>
    </row>
    <row r="610" spans="1:8" x14ac:dyDescent="0.2">
      <c r="A610" s="63" t="str">
        <f>IFERROR(INDEX(_Datos!A:A,MATCH(603,_Datos!$I:$I,0)),"")</f>
        <v/>
      </c>
      <c r="B610" s="63" t="str">
        <f>IFERROR(INDEX(_Datos!B:B,MATCH(603,_Datos!$I:$I,0)),"")</f>
        <v/>
      </c>
      <c r="C610" s="63" t="str">
        <f>IFERROR(INDEX(_Datos!C:C,MATCH(603,_Datos!$I:$I,0)),"")</f>
        <v/>
      </c>
      <c r="D610" s="64" t="str">
        <f>IFERROR(INDEX(_Datos!D:D,MATCH(603,_Datos!$I:$I,0)),"")</f>
        <v/>
      </c>
      <c r="E610" s="65" t="str">
        <f>IFERROR(INDEX(_Datos!E:E,MATCH(603,_Datos!$I:$I,0)),"")</f>
        <v/>
      </c>
      <c r="F610" s="63" t="str">
        <f>IFERROR(INDEX(_Datos!F:F,MATCH(603,_Datos!$I:$I,0)),"")</f>
        <v/>
      </c>
      <c r="G610" s="63" t="str">
        <f>IFERROR(INDEX(_Datos!G:G,MATCH(603,_Datos!$I:$I,0)),"")</f>
        <v/>
      </c>
      <c r="H610" s="66" t="str">
        <f>IFERROR(INDEX(_Datos!H:H,MATCH(603,_Datos!$I:$I,0)),"")</f>
        <v/>
      </c>
    </row>
    <row r="611" spans="1:8" x14ac:dyDescent="0.2">
      <c r="A611" s="67" t="str">
        <f>IFERROR(INDEX(_Datos!A:A,MATCH(604,_Datos!$I:$I,0)),"")</f>
        <v/>
      </c>
      <c r="B611" s="67" t="str">
        <f>IFERROR(INDEX(_Datos!B:B,MATCH(604,_Datos!$I:$I,0)),"")</f>
        <v/>
      </c>
      <c r="C611" s="67" t="str">
        <f>IFERROR(INDEX(_Datos!C:C,MATCH(604,_Datos!$I:$I,0)),"")</f>
        <v/>
      </c>
      <c r="D611" s="68" t="str">
        <f>IFERROR(INDEX(_Datos!D:D,MATCH(604,_Datos!$I:$I,0)),"")</f>
        <v/>
      </c>
      <c r="E611" s="69" t="str">
        <f>IFERROR(INDEX(_Datos!E:E,MATCH(604,_Datos!$I:$I,0)),"")</f>
        <v/>
      </c>
      <c r="F611" s="67" t="str">
        <f>IFERROR(INDEX(_Datos!F:F,MATCH(604,_Datos!$I:$I,0)),"")</f>
        <v/>
      </c>
      <c r="G611" s="67" t="str">
        <f>IFERROR(INDEX(_Datos!G:G,MATCH(604,_Datos!$I:$I,0)),"")</f>
        <v/>
      </c>
      <c r="H611" s="70" t="str">
        <f>IFERROR(INDEX(_Datos!H:H,MATCH(604,_Datos!$I:$I,0)),"")</f>
        <v/>
      </c>
    </row>
    <row r="612" spans="1:8" x14ac:dyDescent="0.2">
      <c r="A612" s="63" t="str">
        <f>IFERROR(INDEX(_Datos!A:A,MATCH(605,_Datos!$I:$I,0)),"")</f>
        <v/>
      </c>
      <c r="B612" s="63" t="str">
        <f>IFERROR(INDEX(_Datos!B:B,MATCH(605,_Datos!$I:$I,0)),"")</f>
        <v/>
      </c>
      <c r="C612" s="63" t="str">
        <f>IFERROR(INDEX(_Datos!C:C,MATCH(605,_Datos!$I:$I,0)),"")</f>
        <v/>
      </c>
      <c r="D612" s="64" t="str">
        <f>IFERROR(INDEX(_Datos!D:D,MATCH(605,_Datos!$I:$I,0)),"")</f>
        <v/>
      </c>
      <c r="E612" s="65" t="str">
        <f>IFERROR(INDEX(_Datos!E:E,MATCH(605,_Datos!$I:$I,0)),"")</f>
        <v/>
      </c>
      <c r="F612" s="63" t="str">
        <f>IFERROR(INDEX(_Datos!F:F,MATCH(605,_Datos!$I:$I,0)),"")</f>
        <v/>
      </c>
      <c r="G612" s="63" t="str">
        <f>IFERROR(INDEX(_Datos!G:G,MATCH(605,_Datos!$I:$I,0)),"")</f>
        <v/>
      </c>
      <c r="H612" s="66" t="str">
        <f>IFERROR(INDEX(_Datos!H:H,MATCH(605,_Datos!$I:$I,0)),"")</f>
        <v/>
      </c>
    </row>
    <row r="613" spans="1:8" x14ac:dyDescent="0.2">
      <c r="A613" s="67" t="str">
        <f>IFERROR(INDEX(_Datos!A:A,MATCH(606,_Datos!$I:$I,0)),"")</f>
        <v/>
      </c>
      <c r="B613" s="67" t="str">
        <f>IFERROR(INDEX(_Datos!B:B,MATCH(606,_Datos!$I:$I,0)),"")</f>
        <v/>
      </c>
      <c r="C613" s="67" t="str">
        <f>IFERROR(INDEX(_Datos!C:C,MATCH(606,_Datos!$I:$I,0)),"")</f>
        <v/>
      </c>
      <c r="D613" s="68" t="str">
        <f>IFERROR(INDEX(_Datos!D:D,MATCH(606,_Datos!$I:$I,0)),"")</f>
        <v/>
      </c>
      <c r="E613" s="69" t="str">
        <f>IFERROR(INDEX(_Datos!E:E,MATCH(606,_Datos!$I:$I,0)),"")</f>
        <v/>
      </c>
      <c r="F613" s="67" t="str">
        <f>IFERROR(INDEX(_Datos!F:F,MATCH(606,_Datos!$I:$I,0)),"")</f>
        <v/>
      </c>
      <c r="G613" s="67" t="str">
        <f>IFERROR(INDEX(_Datos!G:G,MATCH(606,_Datos!$I:$I,0)),"")</f>
        <v/>
      </c>
      <c r="H613" s="70" t="str">
        <f>IFERROR(INDEX(_Datos!H:H,MATCH(606,_Datos!$I:$I,0)),"")</f>
        <v/>
      </c>
    </row>
    <row r="614" spans="1:8" x14ac:dyDescent="0.2">
      <c r="A614" s="63" t="str">
        <f>IFERROR(INDEX(_Datos!A:A,MATCH(607,_Datos!$I:$I,0)),"")</f>
        <v/>
      </c>
      <c r="B614" s="63" t="str">
        <f>IFERROR(INDEX(_Datos!B:B,MATCH(607,_Datos!$I:$I,0)),"")</f>
        <v/>
      </c>
      <c r="C614" s="63" t="str">
        <f>IFERROR(INDEX(_Datos!C:C,MATCH(607,_Datos!$I:$I,0)),"")</f>
        <v/>
      </c>
      <c r="D614" s="64" t="str">
        <f>IFERROR(INDEX(_Datos!D:D,MATCH(607,_Datos!$I:$I,0)),"")</f>
        <v/>
      </c>
      <c r="E614" s="65" t="str">
        <f>IFERROR(INDEX(_Datos!E:E,MATCH(607,_Datos!$I:$I,0)),"")</f>
        <v/>
      </c>
      <c r="F614" s="63" t="str">
        <f>IFERROR(INDEX(_Datos!F:F,MATCH(607,_Datos!$I:$I,0)),"")</f>
        <v/>
      </c>
      <c r="G614" s="63" t="str">
        <f>IFERROR(INDEX(_Datos!G:G,MATCH(607,_Datos!$I:$I,0)),"")</f>
        <v/>
      </c>
      <c r="H614" s="66" t="str">
        <f>IFERROR(INDEX(_Datos!H:H,MATCH(607,_Datos!$I:$I,0)),"")</f>
        <v/>
      </c>
    </row>
    <row r="615" spans="1:8" x14ac:dyDescent="0.2">
      <c r="A615" s="67" t="str">
        <f>IFERROR(INDEX(_Datos!A:A,MATCH(608,_Datos!$I:$I,0)),"")</f>
        <v/>
      </c>
      <c r="B615" s="67" t="str">
        <f>IFERROR(INDEX(_Datos!B:B,MATCH(608,_Datos!$I:$I,0)),"")</f>
        <v/>
      </c>
      <c r="C615" s="67" t="str">
        <f>IFERROR(INDEX(_Datos!C:C,MATCH(608,_Datos!$I:$I,0)),"")</f>
        <v/>
      </c>
      <c r="D615" s="68" t="str">
        <f>IFERROR(INDEX(_Datos!D:D,MATCH(608,_Datos!$I:$I,0)),"")</f>
        <v/>
      </c>
      <c r="E615" s="69" t="str">
        <f>IFERROR(INDEX(_Datos!E:E,MATCH(608,_Datos!$I:$I,0)),"")</f>
        <v/>
      </c>
      <c r="F615" s="67" t="str">
        <f>IFERROR(INDEX(_Datos!F:F,MATCH(608,_Datos!$I:$I,0)),"")</f>
        <v/>
      </c>
      <c r="G615" s="67" t="str">
        <f>IFERROR(INDEX(_Datos!G:G,MATCH(608,_Datos!$I:$I,0)),"")</f>
        <v/>
      </c>
      <c r="H615" s="70" t="str">
        <f>IFERROR(INDEX(_Datos!H:H,MATCH(608,_Datos!$I:$I,0)),"")</f>
        <v/>
      </c>
    </row>
    <row r="616" spans="1:8" x14ac:dyDescent="0.2">
      <c r="A616" s="63" t="str">
        <f>IFERROR(INDEX(_Datos!A:A,MATCH(609,_Datos!$I:$I,0)),"")</f>
        <v/>
      </c>
      <c r="B616" s="63" t="str">
        <f>IFERROR(INDEX(_Datos!B:B,MATCH(609,_Datos!$I:$I,0)),"")</f>
        <v/>
      </c>
      <c r="C616" s="63" t="str">
        <f>IFERROR(INDEX(_Datos!C:C,MATCH(609,_Datos!$I:$I,0)),"")</f>
        <v/>
      </c>
      <c r="D616" s="64" t="str">
        <f>IFERROR(INDEX(_Datos!D:D,MATCH(609,_Datos!$I:$I,0)),"")</f>
        <v/>
      </c>
      <c r="E616" s="65" t="str">
        <f>IFERROR(INDEX(_Datos!E:E,MATCH(609,_Datos!$I:$I,0)),"")</f>
        <v/>
      </c>
      <c r="F616" s="63" t="str">
        <f>IFERROR(INDEX(_Datos!F:F,MATCH(609,_Datos!$I:$I,0)),"")</f>
        <v/>
      </c>
      <c r="G616" s="63" t="str">
        <f>IFERROR(INDEX(_Datos!G:G,MATCH(609,_Datos!$I:$I,0)),"")</f>
        <v/>
      </c>
      <c r="H616" s="66" t="str">
        <f>IFERROR(INDEX(_Datos!H:H,MATCH(609,_Datos!$I:$I,0)),"")</f>
        <v/>
      </c>
    </row>
    <row r="617" spans="1:8" x14ac:dyDescent="0.2">
      <c r="A617" s="67" t="str">
        <f>IFERROR(INDEX(_Datos!A:A,MATCH(610,_Datos!$I:$I,0)),"")</f>
        <v/>
      </c>
      <c r="B617" s="67" t="str">
        <f>IFERROR(INDEX(_Datos!B:B,MATCH(610,_Datos!$I:$I,0)),"")</f>
        <v/>
      </c>
      <c r="C617" s="67" t="str">
        <f>IFERROR(INDEX(_Datos!C:C,MATCH(610,_Datos!$I:$I,0)),"")</f>
        <v/>
      </c>
      <c r="D617" s="68" t="str">
        <f>IFERROR(INDEX(_Datos!D:D,MATCH(610,_Datos!$I:$I,0)),"")</f>
        <v/>
      </c>
      <c r="E617" s="69" t="str">
        <f>IFERROR(INDEX(_Datos!E:E,MATCH(610,_Datos!$I:$I,0)),"")</f>
        <v/>
      </c>
      <c r="F617" s="67" t="str">
        <f>IFERROR(INDEX(_Datos!F:F,MATCH(610,_Datos!$I:$I,0)),"")</f>
        <v/>
      </c>
      <c r="G617" s="67" t="str">
        <f>IFERROR(INDEX(_Datos!G:G,MATCH(610,_Datos!$I:$I,0)),"")</f>
        <v/>
      </c>
      <c r="H617" s="70" t="str">
        <f>IFERROR(INDEX(_Datos!H:H,MATCH(610,_Datos!$I:$I,0)),"")</f>
        <v/>
      </c>
    </row>
    <row r="618" spans="1:8" x14ac:dyDescent="0.2">
      <c r="A618" s="63" t="str">
        <f>IFERROR(INDEX(_Datos!A:A,MATCH(611,_Datos!$I:$I,0)),"")</f>
        <v/>
      </c>
      <c r="B618" s="63" t="str">
        <f>IFERROR(INDEX(_Datos!B:B,MATCH(611,_Datos!$I:$I,0)),"")</f>
        <v/>
      </c>
      <c r="C618" s="63" t="str">
        <f>IFERROR(INDEX(_Datos!C:C,MATCH(611,_Datos!$I:$I,0)),"")</f>
        <v/>
      </c>
      <c r="D618" s="64" t="str">
        <f>IFERROR(INDEX(_Datos!D:D,MATCH(611,_Datos!$I:$I,0)),"")</f>
        <v/>
      </c>
      <c r="E618" s="65" t="str">
        <f>IFERROR(INDEX(_Datos!E:E,MATCH(611,_Datos!$I:$I,0)),"")</f>
        <v/>
      </c>
      <c r="F618" s="63" t="str">
        <f>IFERROR(INDEX(_Datos!F:F,MATCH(611,_Datos!$I:$I,0)),"")</f>
        <v/>
      </c>
      <c r="G618" s="63" t="str">
        <f>IFERROR(INDEX(_Datos!G:G,MATCH(611,_Datos!$I:$I,0)),"")</f>
        <v/>
      </c>
      <c r="H618" s="66" t="str">
        <f>IFERROR(INDEX(_Datos!H:H,MATCH(611,_Datos!$I:$I,0)),"")</f>
        <v/>
      </c>
    </row>
    <row r="619" spans="1:8" x14ac:dyDescent="0.2">
      <c r="A619" s="67" t="str">
        <f>IFERROR(INDEX(_Datos!A:A,MATCH(612,_Datos!$I:$I,0)),"")</f>
        <v/>
      </c>
      <c r="B619" s="67" t="str">
        <f>IFERROR(INDEX(_Datos!B:B,MATCH(612,_Datos!$I:$I,0)),"")</f>
        <v/>
      </c>
      <c r="C619" s="67" t="str">
        <f>IFERROR(INDEX(_Datos!C:C,MATCH(612,_Datos!$I:$I,0)),"")</f>
        <v/>
      </c>
      <c r="D619" s="68" t="str">
        <f>IFERROR(INDEX(_Datos!D:D,MATCH(612,_Datos!$I:$I,0)),"")</f>
        <v/>
      </c>
      <c r="E619" s="69" t="str">
        <f>IFERROR(INDEX(_Datos!E:E,MATCH(612,_Datos!$I:$I,0)),"")</f>
        <v/>
      </c>
      <c r="F619" s="67" t="str">
        <f>IFERROR(INDEX(_Datos!F:F,MATCH(612,_Datos!$I:$I,0)),"")</f>
        <v/>
      </c>
      <c r="G619" s="67" t="str">
        <f>IFERROR(INDEX(_Datos!G:G,MATCH(612,_Datos!$I:$I,0)),"")</f>
        <v/>
      </c>
      <c r="H619" s="70" t="str">
        <f>IFERROR(INDEX(_Datos!H:H,MATCH(612,_Datos!$I:$I,0)),"")</f>
        <v/>
      </c>
    </row>
    <row r="620" spans="1:8" x14ac:dyDescent="0.2">
      <c r="A620" s="63" t="str">
        <f>IFERROR(INDEX(_Datos!A:A,MATCH(613,_Datos!$I:$I,0)),"")</f>
        <v/>
      </c>
      <c r="B620" s="63" t="str">
        <f>IFERROR(INDEX(_Datos!B:B,MATCH(613,_Datos!$I:$I,0)),"")</f>
        <v/>
      </c>
      <c r="C620" s="63" t="str">
        <f>IFERROR(INDEX(_Datos!C:C,MATCH(613,_Datos!$I:$I,0)),"")</f>
        <v/>
      </c>
      <c r="D620" s="64" t="str">
        <f>IFERROR(INDEX(_Datos!D:D,MATCH(613,_Datos!$I:$I,0)),"")</f>
        <v/>
      </c>
      <c r="E620" s="65" t="str">
        <f>IFERROR(INDEX(_Datos!E:E,MATCH(613,_Datos!$I:$I,0)),"")</f>
        <v/>
      </c>
      <c r="F620" s="63" t="str">
        <f>IFERROR(INDEX(_Datos!F:F,MATCH(613,_Datos!$I:$I,0)),"")</f>
        <v/>
      </c>
      <c r="G620" s="63" t="str">
        <f>IFERROR(INDEX(_Datos!G:G,MATCH(613,_Datos!$I:$I,0)),"")</f>
        <v/>
      </c>
      <c r="H620" s="66" t="str">
        <f>IFERROR(INDEX(_Datos!H:H,MATCH(613,_Datos!$I:$I,0)),"")</f>
        <v/>
      </c>
    </row>
    <row r="621" spans="1:8" x14ac:dyDescent="0.2">
      <c r="A621" s="67" t="str">
        <f>IFERROR(INDEX(_Datos!A:A,MATCH(614,_Datos!$I:$I,0)),"")</f>
        <v/>
      </c>
      <c r="B621" s="67" t="str">
        <f>IFERROR(INDEX(_Datos!B:B,MATCH(614,_Datos!$I:$I,0)),"")</f>
        <v/>
      </c>
      <c r="C621" s="67" t="str">
        <f>IFERROR(INDEX(_Datos!C:C,MATCH(614,_Datos!$I:$I,0)),"")</f>
        <v/>
      </c>
      <c r="D621" s="68" t="str">
        <f>IFERROR(INDEX(_Datos!D:D,MATCH(614,_Datos!$I:$I,0)),"")</f>
        <v/>
      </c>
      <c r="E621" s="69" t="str">
        <f>IFERROR(INDEX(_Datos!E:E,MATCH(614,_Datos!$I:$I,0)),"")</f>
        <v/>
      </c>
      <c r="F621" s="67" t="str">
        <f>IFERROR(INDEX(_Datos!F:F,MATCH(614,_Datos!$I:$I,0)),"")</f>
        <v/>
      </c>
      <c r="G621" s="67" t="str">
        <f>IFERROR(INDEX(_Datos!G:G,MATCH(614,_Datos!$I:$I,0)),"")</f>
        <v/>
      </c>
      <c r="H621" s="70" t="str">
        <f>IFERROR(INDEX(_Datos!H:H,MATCH(614,_Datos!$I:$I,0)),"")</f>
        <v/>
      </c>
    </row>
    <row r="622" spans="1:8" x14ac:dyDescent="0.2">
      <c r="A622" s="63" t="str">
        <f>IFERROR(INDEX(_Datos!A:A,MATCH(615,_Datos!$I:$I,0)),"")</f>
        <v/>
      </c>
      <c r="B622" s="63" t="str">
        <f>IFERROR(INDEX(_Datos!B:B,MATCH(615,_Datos!$I:$I,0)),"")</f>
        <v/>
      </c>
      <c r="C622" s="63" t="str">
        <f>IFERROR(INDEX(_Datos!C:C,MATCH(615,_Datos!$I:$I,0)),"")</f>
        <v/>
      </c>
      <c r="D622" s="64" t="str">
        <f>IFERROR(INDEX(_Datos!D:D,MATCH(615,_Datos!$I:$I,0)),"")</f>
        <v/>
      </c>
      <c r="E622" s="65" t="str">
        <f>IFERROR(INDEX(_Datos!E:E,MATCH(615,_Datos!$I:$I,0)),"")</f>
        <v/>
      </c>
      <c r="F622" s="63" t="str">
        <f>IFERROR(INDEX(_Datos!F:F,MATCH(615,_Datos!$I:$I,0)),"")</f>
        <v/>
      </c>
      <c r="G622" s="63" t="str">
        <f>IFERROR(INDEX(_Datos!G:G,MATCH(615,_Datos!$I:$I,0)),"")</f>
        <v/>
      </c>
      <c r="H622" s="66" t="str">
        <f>IFERROR(INDEX(_Datos!H:H,MATCH(615,_Datos!$I:$I,0)),"")</f>
        <v/>
      </c>
    </row>
    <row r="623" spans="1:8" x14ac:dyDescent="0.2">
      <c r="A623" s="67" t="str">
        <f>IFERROR(INDEX(_Datos!A:A,MATCH(616,_Datos!$I:$I,0)),"")</f>
        <v/>
      </c>
      <c r="B623" s="67" t="str">
        <f>IFERROR(INDEX(_Datos!B:B,MATCH(616,_Datos!$I:$I,0)),"")</f>
        <v/>
      </c>
      <c r="C623" s="67" t="str">
        <f>IFERROR(INDEX(_Datos!C:C,MATCH(616,_Datos!$I:$I,0)),"")</f>
        <v/>
      </c>
      <c r="D623" s="68" t="str">
        <f>IFERROR(INDEX(_Datos!D:D,MATCH(616,_Datos!$I:$I,0)),"")</f>
        <v/>
      </c>
      <c r="E623" s="69" t="str">
        <f>IFERROR(INDEX(_Datos!E:E,MATCH(616,_Datos!$I:$I,0)),"")</f>
        <v/>
      </c>
      <c r="F623" s="67" t="str">
        <f>IFERROR(INDEX(_Datos!F:F,MATCH(616,_Datos!$I:$I,0)),"")</f>
        <v/>
      </c>
      <c r="G623" s="67" t="str">
        <f>IFERROR(INDEX(_Datos!G:G,MATCH(616,_Datos!$I:$I,0)),"")</f>
        <v/>
      </c>
      <c r="H623" s="70" t="str">
        <f>IFERROR(INDEX(_Datos!H:H,MATCH(616,_Datos!$I:$I,0)),"")</f>
        <v/>
      </c>
    </row>
    <row r="624" spans="1:8" x14ac:dyDescent="0.2">
      <c r="A624" s="63" t="str">
        <f>IFERROR(INDEX(_Datos!A:A,MATCH(617,_Datos!$I:$I,0)),"")</f>
        <v/>
      </c>
      <c r="B624" s="63" t="str">
        <f>IFERROR(INDEX(_Datos!B:B,MATCH(617,_Datos!$I:$I,0)),"")</f>
        <v/>
      </c>
      <c r="C624" s="63" t="str">
        <f>IFERROR(INDEX(_Datos!C:C,MATCH(617,_Datos!$I:$I,0)),"")</f>
        <v/>
      </c>
      <c r="D624" s="64" t="str">
        <f>IFERROR(INDEX(_Datos!D:D,MATCH(617,_Datos!$I:$I,0)),"")</f>
        <v/>
      </c>
      <c r="E624" s="65" t="str">
        <f>IFERROR(INDEX(_Datos!E:E,MATCH(617,_Datos!$I:$I,0)),"")</f>
        <v/>
      </c>
      <c r="F624" s="63" t="str">
        <f>IFERROR(INDEX(_Datos!F:F,MATCH(617,_Datos!$I:$I,0)),"")</f>
        <v/>
      </c>
      <c r="G624" s="63" t="str">
        <f>IFERROR(INDEX(_Datos!G:G,MATCH(617,_Datos!$I:$I,0)),"")</f>
        <v/>
      </c>
      <c r="H624" s="66" t="str">
        <f>IFERROR(INDEX(_Datos!H:H,MATCH(617,_Datos!$I:$I,0)),"")</f>
        <v/>
      </c>
    </row>
    <row r="625" spans="1:8" x14ac:dyDescent="0.2">
      <c r="A625" s="67" t="str">
        <f>IFERROR(INDEX(_Datos!A:A,MATCH(618,_Datos!$I:$I,0)),"")</f>
        <v/>
      </c>
      <c r="B625" s="67" t="str">
        <f>IFERROR(INDEX(_Datos!B:B,MATCH(618,_Datos!$I:$I,0)),"")</f>
        <v/>
      </c>
      <c r="C625" s="67" t="str">
        <f>IFERROR(INDEX(_Datos!C:C,MATCH(618,_Datos!$I:$I,0)),"")</f>
        <v/>
      </c>
      <c r="D625" s="68" t="str">
        <f>IFERROR(INDEX(_Datos!D:D,MATCH(618,_Datos!$I:$I,0)),"")</f>
        <v/>
      </c>
      <c r="E625" s="69" t="str">
        <f>IFERROR(INDEX(_Datos!E:E,MATCH(618,_Datos!$I:$I,0)),"")</f>
        <v/>
      </c>
      <c r="F625" s="67" t="str">
        <f>IFERROR(INDEX(_Datos!F:F,MATCH(618,_Datos!$I:$I,0)),"")</f>
        <v/>
      </c>
      <c r="G625" s="67" t="str">
        <f>IFERROR(INDEX(_Datos!G:G,MATCH(618,_Datos!$I:$I,0)),"")</f>
        <v/>
      </c>
      <c r="H625" s="70" t="str">
        <f>IFERROR(INDEX(_Datos!H:H,MATCH(618,_Datos!$I:$I,0)),"")</f>
        <v/>
      </c>
    </row>
    <row r="626" spans="1:8" x14ac:dyDescent="0.2">
      <c r="A626" s="63" t="str">
        <f>IFERROR(INDEX(_Datos!A:A,MATCH(619,_Datos!$I:$I,0)),"")</f>
        <v/>
      </c>
      <c r="B626" s="63" t="str">
        <f>IFERROR(INDEX(_Datos!B:B,MATCH(619,_Datos!$I:$I,0)),"")</f>
        <v/>
      </c>
      <c r="C626" s="63" t="str">
        <f>IFERROR(INDEX(_Datos!C:C,MATCH(619,_Datos!$I:$I,0)),"")</f>
        <v/>
      </c>
      <c r="D626" s="64" t="str">
        <f>IFERROR(INDEX(_Datos!D:D,MATCH(619,_Datos!$I:$I,0)),"")</f>
        <v/>
      </c>
      <c r="E626" s="65" t="str">
        <f>IFERROR(INDEX(_Datos!E:E,MATCH(619,_Datos!$I:$I,0)),"")</f>
        <v/>
      </c>
      <c r="F626" s="63" t="str">
        <f>IFERROR(INDEX(_Datos!F:F,MATCH(619,_Datos!$I:$I,0)),"")</f>
        <v/>
      </c>
      <c r="G626" s="63" t="str">
        <f>IFERROR(INDEX(_Datos!G:G,MATCH(619,_Datos!$I:$I,0)),"")</f>
        <v/>
      </c>
      <c r="H626" s="66" t="str">
        <f>IFERROR(INDEX(_Datos!H:H,MATCH(619,_Datos!$I:$I,0)),"")</f>
        <v/>
      </c>
    </row>
    <row r="627" spans="1:8" x14ac:dyDescent="0.2">
      <c r="A627" s="67" t="str">
        <f>IFERROR(INDEX(_Datos!A:A,MATCH(620,_Datos!$I:$I,0)),"")</f>
        <v/>
      </c>
      <c r="B627" s="67" t="str">
        <f>IFERROR(INDEX(_Datos!B:B,MATCH(620,_Datos!$I:$I,0)),"")</f>
        <v/>
      </c>
      <c r="C627" s="67" t="str">
        <f>IFERROR(INDEX(_Datos!C:C,MATCH(620,_Datos!$I:$I,0)),"")</f>
        <v/>
      </c>
      <c r="D627" s="68" t="str">
        <f>IFERROR(INDEX(_Datos!D:D,MATCH(620,_Datos!$I:$I,0)),"")</f>
        <v/>
      </c>
      <c r="E627" s="69" t="str">
        <f>IFERROR(INDEX(_Datos!E:E,MATCH(620,_Datos!$I:$I,0)),"")</f>
        <v/>
      </c>
      <c r="F627" s="67" t="str">
        <f>IFERROR(INDEX(_Datos!F:F,MATCH(620,_Datos!$I:$I,0)),"")</f>
        <v/>
      </c>
      <c r="G627" s="67" t="str">
        <f>IFERROR(INDEX(_Datos!G:G,MATCH(620,_Datos!$I:$I,0)),"")</f>
        <v/>
      </c>
      <c r="H627" s="70" t="str">
        <f>IFERROR(INDEX(_Datos!H:H,MATCH(620,_Datos!$I:$I,0)),"")</f>
        <v/>
      </c>
    </row>
    <row r="628" spans="1:8" x14ac:dyDescent="0.2">
      <c r="A628" s="63" t="str">
        <f>IFERROR(INDEX(_Datos!A:A,MATCH(621,_Datos!$I:$I,0)),"")</f>
        <v/>
      </c>
      <c r="B628" s="63" t="str">
        <f>IFERROR(INDEX(_Datos!B:B,MATCH(621,_Datos!$I:$I,0)),"")</f>
        <v/>
      </c>
      <c r="C628" s="63" t="str">
        <f>IFERROR(INDEX(_Datos!C:C,MATCH(621,_Datos!$I:$I,0)),"")</f>
        <v/>
      </c>
      <c r="D628" s="64" t="str">
        <f>IFERROR(INDEX(_Datos!D:D,MATCH(621,_Datos!$I:$I,0)),"")</f>
        <v/>
      </c>
      <c r="E628" s="65" t="str">
        <f>IFERROR(INDEX(_Datos!E:E,MATCH(621,_Datos!$I:$I,0)),"")</f>
        <v/>
      </c>
      <c r="F628" s="63" t="str">
        <f>IFERROR(INDEX(_Datos!F:F,MATCH(621,_Datos!$I:$I,0)),"")</f>
        <v/>
      </c>
      <c r="G628" s="63" t="str">
        <f>IFERROR(INDEX(_Datos!G:G,MATCH(621,_Datos!$I:$I,0)),"")</f>
        <v/>
      </c>
      <c r="H628" s="66" t="str">
        <f>IFERROR(INDEX(_Datos!H:H,MATCH(621,_Datos!$I:$I,0)),"")</f>
        <v/>
      </c>
    </row>
    <row r="629" spans="1:8" x14ac:dyDescent="0.2">
      <c r="A629" s="67" t="str">
        <f>IFERROR(INDEX(_Datos!A:A,MATCH(622,_Datos!$I:$I,0)),"")</f>
        <v/>
      </c>
      <c r="B629" s="67" t="str">
        <f>IFERROR(INDEX(_Datos!B:B,MATCH(622,_Datos!$I:$I,0)),"")</f>
        <v/>
      </c>
      <c r="C629" s="67" t="str">
        <f>IFERROR(INDEX(_Datos!C:C,MATCH(622,_Datos!$I:$I,0)),"")</f>
        <v/>
      </c>
      <c r="D629" s="68" t="str">
        <f>IFERROR(INDEX(_Datos!D:D,MATCH(622,_Datos!$I:$I,0)),"")</f>
        <v/>
      </c>
      <c r="E629" s="69" t="str">
        <f>IFERROR(INDEX(_Datos!E:E,MATCH(622,_Datos!$I:$I,0)),"")</f>
        <v/>
      </c>
      <c r="F629" s="67" t="str">
        <f>IFERROR(INDEX(_Datos!F:F,MATCH(622,_Datos!$I:$I,0)),"")</f>
        <v/>
      </c>
      <c r="G629" s="67" t="str">
        <f>IFERROR(INDEX(_Datos!G:G,MATCH(622,_Datos!$I:$I,0)),"")</f>
        <v/>
      </c>
      <c r="H629" s="70" t="str">
        <f>IFERROR(INDEX(_Datos!H:H,MATCH(622,_Datos!$I:$I,0)),"")</f>
        <v/>
      </c>
    </row>
    <row r="630" spans="1:8" x14ac:dyDescent="0.2">
      <c r="A630" s="63" t="str">
        <f>IFERROR(INDEX(_Datos!A:A,MATCH(623,_Datos!$I:$I,0)),"")</f>
        <v/>
      </c>
      <c r="B630" s="63" t="str">
        <f>IFERROR(INDEX(_Datos!B:B,MATCH(623,_Datos!$I:$I,0)),"")</f>
        <v/>
      </c>
      <c r="C630" s="63" t="str">
        <f>IFERROR(INDEX(_Datos!C:C,MATCH(623,_Datos!$I:$I,0)),"")</f>
        <v/>
      </c>
      <c r="D630" s="64" t="str">
        <f>IFERROR(INDEX(_Datos!D:D,MATCH(623,_Datos!$I:$I,0)),"")</f>
        <v/>
      </c>
      <c r="E630" s="65" t="str">
        <f>IFERROR(INDEX(_Datos!E:E,MATCH(623,_Datos!$I:$I,0)),"")</f>
        <v/>
      </c>
      <c r="F630" s="63" t="str">
        <f>IFERROR(INDEX(_Datos!F:F,MATCH(623,_Datos!$I:$I,0)),"")</f>
        <v/>
      </c>
      <c r="G630" s="63" t="str">
        <f>IFERROR(INDEX(_Datos!G:G,MATCH(623,_Datos!$I:$I,0)),"")</f>
        <v/>
      </c>
      <c r="H630" s="66" t="str">
        <f>IFERROR(INDEX(_Datos!H:H,MATCH(623,_Datos!$I:$I,0)),"")</f>
        <v/>
      </c>
    </row>
    <row r="631" spans="1:8" x14ac:dyDescent="0.2">
      <c r="A631" s="67" t="str">
        <f>IFERROR(INDEX(_Datos!A:A,MATCH(624,_Datos!$I:$I,0)),"")</f>
        <v/>
      </c>
      <c r="B631" s="67" t="str">
        <f>IFERROR(INDEX(_Datos!B:B,MATCH(624,_Datos!$I:$I,0)),"")</f>
        <v/>
      </c>
      <c r="C631" s="67" t="str">
        <f>IFERROR(INDEX(_Datos!C:C,MATCH(624,_Datos!$I:$I,0)),"")</f>
        <v/>
      </c>
      <c r="D631" s="68" t="str">
        <f>IFERROR(INDEX(_Datos!D:D,MATCH(624,_Datos!$I:$I,0)),"")</f>
        <v/>
      </c>
      <c r="E631" s="69" t="str">
        <f>IFERROR(INDEX(_Datos!E:E,MATCH(624,_Datos!$I:$I,0)),"")</f>
        <v/>
      </c>
      <c r="F631" s="67" t="str">
        <f>IFERROR(INDEX(_Datos!F:F,MATCH(624,_Datos!$I:$I,0)),"")</f>
        <v/>
      </c>
      <c r="G631" s="67" t="str">
        <f>IFERROR(INDEX(_Datos!G:G,MATCH(624,_Datos!$I:$I,0)),"")</f>
        <v/>
      </c>
      <c r="H631" s="70" t="str">
        <f>IFERROR(INDEX(_Datos!H:H,MATCH(624,_Datos!$I:$I,0)),"")</f>
        <v/>
      </c>
    </row>
    <row r="632" spans="1:8" x14ac:dyDescent="0.2">
      <c r="A632" s="63" t="str">
        <f>IFERROR(INDEX(_Datos!A:A,MATCH(625,_Datos!$I:$I,0)),"")</f>
        <v/>
      </c>
      <c r="B632" s="63" t="str">
        <f>IFERROR(INDEX(_Datos!B:B,MATCH(625,_Datos!$I:$I,0)),"")</f>
        <v/>
      </c>
      <c r="C632" s="63" t="str">
        <f>IFERROR(INDEX(_Datos!C:C,MATCH(625,_Datos!$I:$I,0)),"")</f>
        <v/>
      </c>
      <c r="D632" s="64" t="str">
        <f>IFERROR(INDEX(_Datos!D:D,MATCH(625,_Datos!$I:$I,0)),"")</f>
        <v/>
      </c>
      <c r="E632" s="65" t="str">
        <f>IFERROR(INDEX(_Datos!E:E,MATCH(625,_Datos!$I:$I,0)),"")</f>
        <v/>
      </c>
      <c r="F632" s="63" t="str">
        <f>IFERROR(INDEX(_Datos!F:F,MATCH(625,_Datos!$I:$I,0)),"")</f>
        <v/>
      </c>
      <c r="G632" s="63" t="str">
        <f>IFERROR(INDEX(_Datos!G:G,MATCH(625,_Datos!$I:$I,0)),"")</f>
        <v/>
      </c>
      <c r="H632" s="66" t="str">
        <f>IFERROR(INDEX(_Datos!H:H,MATCH(625,_Datos!$I:$I,0)),"")</f>
        <v/>
      </c>
    </row>
    <row r="633" spans="1:8" x14ac:dyDescent="0.2">
      <c r="A633" s="67" t="str">
        <f>IFERROR(INDEX(_Datos!A:A,MATCH(626,_Datos!$I:$I,0)),"")</f>
        <v/>
      </c>
      <c r="B633" s="67" t="str">
        <f>IFERROR(INDEX(_Datos!B:B,MATCH(626,_Datos!$I:$I,0)),"")</f>
        <v/>
      </c>
      <c r="C633" s="67" t="str">
        <f>IFERROR(INDEX(_Datos!C:C,MATCH(626,_Datos!$I:$I,0)),"")</f>
        <v/>
      </c>
      <c r="D633" s="68" t="str">
        <f>IFERROR(INDEX(_Datos!D:D,MATCH(626,_Datos!$I:$I,0)),"")</f>
        <v/>
      </c>
      <c r="E633" s="69" t="str">
        <f>IFERROR(INDEX(_Datos!E:E,MATCH(626,_Datos!$I:$I,0)),"")</f>
        <v/>
      </c>
      <c r="F633" s="67" t="str">
        <f>IFERROR(INDEX(_Datos!F:F,MATCH(626,_Datos!$I:$I,0)),"")</f>
        <v/>
      </c>
      <c r="G633" s="67" t="str">
        <f>IFERROR(INDEX(_Datos!G:G,MATCH(626,_Datos!$I:$I,0)),"")</f>
        <v/>
      </c>
      <c r="H633" s="70" t="str">
        <f>IFERROR(INDEX(_Datos!H:H,MATCH(626,_Datos!$I:$I,0)),"")</f>
        <v/>
      </c>
    </row>
    <row r="634" spans="1:8" x14ac:dyDescent="0.2">
      <c r="A634" s="63" t="str">
        <f>IFERROR(INDEX(_Datos!A:A,MATCH(627,_Datos!$I:$I,0)),"")</f>
        <v/>
      </c>
      <c r="B634" s="63" t="str">
        <f>IFERROR(INDEX(_Datos!B:B,MATCH(627,_Datos!$I:$I,0)),"")</f>
        <v/>
      </c>
      <c r="C634" s="63" t="str">
        <f>IFERROR(INDEX(_Datos!C:C,MATCH(627,_Datos!$I:$I,0)),"")</f>
        <v/>
      </c>
      <c r="D634" s="64" t="str">
        <f>IFERROR(INDEX(_Datos!D:D,MATCH(627,_Datos!$I:$I,0)),"")</f>
        <v/>
      </c>
      <c r="E634" s="65" t="str">
        <f>IFERROR(INDEX(_Datos!E:E,MATCH(627,_Datos!$I:$I,0)),"")</f>
        <v/>
      </c>
      <c r="F634" s="63" t="str">
        <f>IFERROR(INDEX(_Datos!F:F,MATCH(627,_Datos!$I:$I,0)),"")</f>
        <v/>
      </c>
      <c r="G634" s="63" t="str">
        <f>IFERROR(INDEX(_Datos!G:G,MATCH(627,_Datos!$I:$I,0)),"")</f>
        <v/>
      </c>
      <c r="H634" s="66" t="str">
        <f>IFERROR(INDEX(_Datos!H:H,MATCH(627,_Datos!$I:$I,0)),"")</f>
        <v/>
      </c>
    </row>
    <row r="635" spans="1:8" x14ac:dyDescent="0.2">
      <c r="A635" s="67" t="str">
        <f>IFERROR(INDEX(_Datos!A:A,MATCH(628,_Datos!$I:$I,0)),"")</f>
        <v/>
      </c>
      <c r="B635" s="67" t="str">
        <f>IFERROR(INDEX(_Datos!B:B,MATCH(628,_Datos!$I:$I,0)),"")</f>
        <v/>
      </c>
      <c r="C635" s="67" t="str">
        <f>IFERROR(INDEX(_Datos!C:C,MATCH(628,_Datos!$I:$I,0)),"")</f>
        <v/>
      </c>
      <c r="D635" s="68" t="str">
        <f>IFERROR(INDEX(_Datos!D:D,MATCH(628,_Datos!$I:$I,0)),"")</f>
        <v/>
      </c>
      <c r="E635" s="69" t="str">
        <f>IFERROR(INDEX(_Datos!E:E,MATCH(628,_Datos!$I:$I,0)),"")</f>
        <v/>
      </c>
      <c r="F635" s="67" t="str">
        <f>IFERROR(INDEX(_Datos!F:F,MATCH(628,_Datos!$I:$I,0)),"")</f>
        <v/>
      </c>
      <c r="G635" s="67" t="str">
        <f>IFERROR(INDEX(_Datos!G:G,MATCH(628,_Datos!$I:$I,0)),"")</f>
        <v/>
      </c>
      <c r="H635" s="70" t="str">
        <f>IFERROR(INDEX(_Datos!H:H,MATCH(628,_Datos!$I:$I,0)),"")</f>
        <v/>
      </c>
    </row>
    <row r="636" spans="1:8" x14ac:dyDescent="0.2">
      <c r="A636" s="63" t="str">
        <f>IFERROR(INDEX(_Datos!A:A,MATCH(629,_Datos!$I:$I,0)),"")</f>
        <v/>
      </c>
      <c r="B636" s="63" t="str">
        <f>IFERROR(INDEX(_Datos!B:B,MATCH(629,_Datos!$I:$I,0)),"")</f>
        <v/>
      </c>
      <c r="C636" s="63" t="str">
        <f>IFERROR(INDEX(_Datos!C:C,MATCH(629,_Datos!$I:$I,0)),"")</f>
        <v/>
      </c>
      <c r="D636" s="64" t="str">
        <f>IFERROR(INDEX(_Datos!D:D,MATCH(629,_Datos!$I:$I,0)),"")</f>
        <v/>
      </c>
      <c r="E636" s="65" t="str">
        <f>IFERROR(INDEX(_Datos!E:E,MATCH(629,_Datos!$I:$I,0)),"")</f>
        <v/>
      </c>
      <c r="F636" s="63" t="str">
        <f>IFERROR(INDEX(_Datos!F:F,MATCH(629,_Datos!$I:$I,0)),"")</f>
        <v/>
      </c>
      <c r="G636" s="63" t="str">
        <f>IFERROR(INDEX(_Datos!G:G,MATCH(629,_Datos!$I:$I,0)),"")</f>
        <v/>
      </c>
      <c r="H636" s="66" t="str">
        <f>IFERROR(INDEX(_Datos!H:H,MATCH(629,_Datos!$I:$I,0)),"")</f>
        <v/>
      </c>
    </row>
    <row r="637" spans="1:8" x14ac:dyDescent="0.2">
      <c r="A637" s="67" t="str">
        <f>IFERROR(INDEX(_Datos!A:A,MATCH(630,_Datos!$I:$I,0)),"")</f>
        <v/>
      </c>
      <c r="B637" s="67" t="str">
        <f>IFERROR(INDEX(_Datos!B:B,MATCH(630,_Datos!$I:$I,0)),"")</f>
        <v/>
      </c>
      <c r="C637" s="67" t="str">
        <f>IFERROR(INDEX(_Datos!C:C,MATCH(630,_Datos!$I:$I,0)),"")</f>
        <v/>
      </c>
      <c r="D637" s="68" t="str">
        <f>IFERROR(INDEX(_Datos!D:D,MATCH(630,_Datos!$I:$I,0)),"")</f>
        <v/>
      </c>
      <c r="E637" s="69" t="str">
        <f>IFERROR(INDEX(_Datos!E:E,MATCH(630,_Datos!$I:$I,0)),"")</f>
        <v/>
      </c>
      <c r="F637" s="67" t="str">
        <f>IFERROR(INDEX(_Datos!F:F,MATCH(630,_Datos!$I:$I,0)),"")</f>
        <v/>
      </c>
      <c r="G637" s="67" t="str">
        <f>IFERROR(INDEX(_Datos!G:G,MATCH(630,_Datos!$I:$I,0)),"")</f>
        <v/>
      </c>
      <c r="H637" s="70" t="str">
        <f>IFERROR(INDEX(_Datos!H:H,MATCH(630,_Datos!$I:$I,0)),"")</f>
        <v/>
      </c>
    </row>
    <row r="638" spans="1:8" x14ac:dyDescent="0.2">
      <c r="A638" s="63" t="str">
        <f>IFERROR(INDEX(_Datos!A:A,MATCH(631,_Datos!$I:$I,0)),"")</f>
        <v/>
      </c>
      <c r="B638" s="63" t="str">
        <f>IFERROR(INDEX(_Datos!B:B,MATCH(631,_Datos!$I:$I,0)),"")</f>
        <v/>
      </c>
      <c r="C638" s="63" t="str">
        <f>IFERROR(INDEX(_Datos!C:C,MATCH(631,_Datos!$I:$I,0)),"")</f>
        <v/>
      </c>
      <c r="D638" s="64" t="str">
        <f>IFERROR(INDEX(_Datos!D:D,MATCH(631,_Datos!$I:$I,0)),"")</f>
        <v/>
      </c>
      <c r="E638" s="65" t="str">
        <f>IFERROR(INDEX(_Datos!E:E,MATCH(631,_Datos!$I:$I,0)),"")</f>
        <v/>
      </c>
      <c r="F638" s="63" t="str">
        <f>IFERROR(INDEX(_Datos!F:F,MATCH(631,_Datos!$I:$I,0)),"")</f>
        <v/>
      </c>
      <c r="G638" s="63" t="str">
        <f>IFERROR(INDEX(_Datos!G:G,MATCH(631,_Datos!$I:$I,0)),"")</f>
        <v/>
      </c>
      <c r="H638" s="66" t="str">
        <f>IFERROR(INDEX(_Datos!H:H,MATCH(631,_Datos!$I:$I,0)),"")</f>
        <v/>
      </c>
    </row>
    <row r="639" spans="1:8" x14ac:dyDescent="0.2">
      <c r="A639" s="67" t="str">
        <f>IFERROR(INDEX(_Datos!A:A,MATCH(632,_Datos!$I:$I,0)),"")</f>
        <v/>
      </c>
      <c r="B639" s="67" t="str">
        <f>IFERROR(INDEX(_Datos!B:B,MATCH(632,_Datos!$I:$I,0)),"")</f>
        <v/>
      </c>
      <c r="C639" s="67" t="str">
        <f>IFERROR(INDEX(_Datos!C:C,MATCH(632,_Datos!$I:$I,0)),"")</f>
        <v/>
      </c>
      <c r="D639" s="68" t="str">
        <f>IFERROR(INDEX(_Datos!D:D,MATCH(632,_Datos!$I:$I,0)),"")</f>
        <v/>
      </c>
      <c r="E639" s="69" t="str">
        <f>IFERROR(INDEX(_Datos!E:E,MATCH(632,_Datos!$I:$I,0)),"")</f>
        <v/>
      </c>
      <c r="F639" s="67" t="str">
        <f>IFERROR(INDEX(_Datos!F:F,MATCH(632,_Datos!$I:$I,0)),"")</f>
        <v/>
      </c>
      <c r="G639" s="67" t="str">
        <f>IFERROR(INDEX(_Datos!G:G,MATCH(632,_Datos!$I:$I,0)),"")</f>
        <v/>
      </c>
      <c r="H639" s="70" t="str">
        <f>IFERROR(INDEX(_Datos!H:H,MATCH(632,_Datos!$I:$I,0)),"")</f>
        <v/>
      </c>
    </row>
    <row r="640" spans="1:8" x14ac:dyDescent="0.2">
      <c r="A640" s="63" t="str">
        <f>IFERROR(INDEX(_Datos!A:A,MATCH(633,_Datos!$I:$I,0)),"")</f>
        <v/>
      </c>
      <c r="B640" s="63" t="str">
        <f>IFERROR(INDEX(_Datos!B:B,MATCH(633,_Datos!$I:$I,0)),"")</f>
        <v/>
      </c>
      <c r="C640" s="63" t="str">
        <f>IFERROR(INDEX(_Datos!C:C,MATCH(633,_Datos!$I:$I,0)),"")</f>
        <v/>
      </c>
      <c r="D640" s="64" t="str">
        <f>IFERROR(INDEX(_Datos!D:D,MATCH(633,_Datos!$I:$I,0)),"")</f>
        <v/>
      </c>
      <c r="E640" s="65" t="str">
        <f>IFERROR(INDEX(_Datos!E:E,MATCH(633,_Datos!$I:$I,0)),"")</f>
        <v/>
      </c>
      <c r="F640" s="63" t="str">
        <f>IFERROR(INDEX(_Datos!F:F,MATCH(633,_Datos!$I:$I,0)),"")</f>
        <v/>
      </c>
      <c r="G640" s="63" t="str">
        <f>IFERROR(INDEX(_Datos!G:G,MATCH(633,_Datos!$I:$I,0)),"")</f>
        <v/>
      </c>
      <c r="H640" s="66" t="str">
        <f>IFERROR(INDEX(_Datos!H:H,MATCH(633,_Datos!$I:$I,0)),"")</f>
        <v/>
      </c>
    </row>
    <row r="641" spans="1:8" x14ac:dyDescent="0.2">
      <c r="A641" s="67" t="str">
        <f>IFERROR(INDEX(_Datos!A:A,MATCH(634,_Datos!$I:$I,0)),"")</f>
        <v/>
      </c>
      <c r="B641" s="67" t="str">
        <f>IFERROR(INDEX(_Datos!B:B,MATCH(634,_Datos!$I:$I,0)),"")</f>
        <v/>
      </c>
      <c r="C641" s="67" t="str">
        <f>IFERROR(INDEX(_Datos!C:C,MATCH(634,_Datos!$I:$I,0)),"")</f>
        <v/>
      </c>
      <c r="D641" s="68" t="str">
        <f>IFERROR(INDEX(_Datos!D:D,MATCH(634,_Datos!$I:$I,0)),"")</f>
        <v/>
      </c>
      <c r="E641" s="69" t="str">
        <f>IFERROR(INDEX(_Datos!E:E,MATCH(634,_Datos!$I:$I,0)),"")</f>
        <v/>
      </c>
      <c r="F641" s="67" t="str">
        <f>IFERROR(INDEX(_Datos!F:F,MATCH(634,_Datos!$I:$I,0)),"")</f>
        <v/>
      </c>
      <c r="G641" s="67" t="str">
        <f>IFERROR(INDEX(_Datos!G:G,MATCH(634,_Datos!$I:$I,0)),"")</f>
        <v/>
      </c>
      <c r="H641" s="70" t="str">
        <f>IFERROR(INDEX(_Datos!H:H,MATCH(634,_Datos!$I:$I,0)),"")</f>
        <v/>
      </c>
    </row>
    <row r="642" spans="1:8" x14ac:dyDescent="0.2">
      <c r="A642" s="63" t="str">
        <f>IFERROR(INDEX(_Datos!A:A,MATCH(635,_Datos!$I:$I,0)),"")</f>
        <v/>
      </c>
      <c r="B642" s="63" t="str">
        <f>IFERROR(INDEX(_Datos!B:B,MATCH(635,_Datos!$I:$I,0)),"")</f>
        <v/>
      </c>
      <c r="C642" s="63" t="str">
        <f>IFERROR(INDEX(_Datos!C:C,MATCH(635,_Datos!$I:$I,0)),"")</f>
        <v/>
      </c>
      <c r="D642" s="64" t="str">
        <f>IFERROR(INDEX(_Datos!D:D,MATCH(635,_Datos!$I:$I,0)),"")</f>
        <v/>
      </c>
      <c r="E642" s="65" t="str">
        <f>IFERROR(INDEX(_Datos!E:E,MATCH(635,_Datos!$I:$I,0)),"")</f>
        <v/>
      </c>
      <c r="F642" s="63" t="str">
        <f>IFERROR(INDEX(_Datos!F:F,MATCH(635,_Datos!$I:$I,0)),"")</f>
        <v/>
      </c>
      <c r="G642" s="63" t="str">
        <f>IFERROR(INDEX(_Datos!G:G,MATCH(635,_Datos!$I:$I,0)),"")</f>
        <v/>
      </c>
      <c r="H642" s="66" t="str">
        <f>IFERROR(INDEX(_Datos!H:H,MATCH(635,_Datos!$I:$I,0)),"")</f>
        <v/>
      </c>
    </row>
    <row r="643" spans="1:8" x14ac:dyDescent="0.2">
      <c r="A643" s="67" t="str">
        <f>IFERROR(INDEX(_Datos!A:A,MATCH(636,_Datos!$I:$I,0)),"")</f>
        <v/>
      </c>
      <c r="B643" s="67" t="str">
        <f>IFERROR(INDEX(_Datos!B:B,MATCH(636,_Datos!$I:$I,0)),"")</f>
        <v/>
      </c>
      <c r="C643" s="67" t="str">
        <f>IFERROR(INDEX(_Datos!C:C,MATCH(636,_Datos!$I:$I,0)),"")</f>
        <v/>
      </c>
      <c r="D643" s="68" t="str">
        <f>IFERROR(INDEX(_Datos!D:D,MATCH(636,_Datos!$I:$I,0)),"")</f>
        <v/>
      </c>
      <c r="E643" s="69" t="str">
        <f>IFERROR(INDEX(_Datos!E:E,MATCH(636,_Datos!$I:$I,0)),"")</f>
        <v/>
      </c>
      <c r="F643" s="67" t="str">
        <f>IFERROR(INDEX(_Datos!F:F,MATCH(636,_Datos!$I:$I,0)),"")</f>
        <v/>
      </c>
      <c r="G643" s="67" t="str">
        <f>IFERROR(INDEX(_Datos!G:G,MATCH(636,_Datos!$I:$I,0)),"")</f>
        <v/>
      </c>
      <c r="H643" s="70" t="str">
        <f>IFERROR(INDEX(_Datos!H:H,MATCH(636,_Datos!$I:$I,0)),"")</f>
        <v/>
      </c>
    </row>
    <row r="644" spans="1:8" x14ac:dyDescent="0.2">
      <c r="A644" s="63" t="str">
        <f>IFERROR(INDEX(_Datos!A:A,MATCH(637,_Datos!$I:$I,0)),"")</f>
        <v/>
      </c>
      <c r="B644" s="63" t="str">
        <f>IFERROR(INDEX(_Datos!B:B,MATCH(637,_Datos!$I:$I,0)),"")</f>
        <v/>
      </c>
      <c r="C644" s="63" t="str">
        <f>IFERROR(INDEX(_Datos!C:C,MATCH(637,_Datos!$I:$I,0)),"")</f>
        <v/>
      </c>
      <c r="D644" s="64" t="str">
        <f>IFERROR(INDEX(_Datos!D:D,MATCH(637,_Datos!$I:$I,0)),"")</f>
        <v/>
      </c>
      <c r="E644" s="65" t="str">
        <f>IFERROR(INDEX(_Datos!E:E,MATCH(637,_Datos!$I:$I,0)),"")</f>
        <v/>
      </c>
      <c r="F644" s="63" t="str">
        <f>IFERROR(INDEX(_Datos!F:F,MATCH(637,_Datos!$I:$I,0)),"")</f>
        <v/>
      </c>
      <c r="G644" s="63" t="str">
        <f>IFERROR(INDEX(_Datos!G:G,MATCH(637,_Datos!$I:$I,0)),"")</f>
        <v/>
      </c>
      <c r="H644" s="66" t="str">
        <f>IFERROR(INDEX(_Datos!H:H,MATCH(637,_Datos!$I:$I,0)),"")</f>
        <v/>
      </c>
    </row>
    <row r="645" spans="1:8" x14ac:dyDescent="0.2">
      <c r="A645" s="67" t="str">
        <f>IFERROR(INDEX(_Datos!A:A,MATCH(638,_Datos!$I:$I,0)),"")</f>
        <v/>
      </c>
      <c r="B645" s="67" t="str">
        <f>IFERROR(INDEX(_Datos!B:B,MATCH(638,_Datos!$I:$I,0)),"")</f>
        <v/>
      </c>
      <c r="C645" s="67" t="str">
        <f>IFERROR(INDEX(_Datos!C:C,MATCH(638,_Datos!$I:$I,0)),"")</f>
        <v/>
      </c>
      <c r="D645" s="68" t="str">
        <f>IFERROR(INDEX(_Datos!D:D,MATCH(638,_Datos!$I:$I,0)),"")</f>
        <v/>
      </c>
      <c r="E645" s="69" t="str">
        <f>IFERROR(INDEX(_Datos!E:E,MATCH(638,_Datos!$I:$I,0)),"")</f>
        <v/>
      </c>
      <c r="F645" s="67" t="str">
        <f>IFERROR(INDEX(_Datos!F:F,MATCH(638,_Datos!$I:$I,0)),"")</f>
        <v/>
      </c>
      <c r="G645" s="67" t="str">
        <f>IFERROR(INDEX(_Datos!G:G,MATCH(638,_Datos!$I:$I,0)),"")</f>
        <v/>
      </c>
      <c r="H645" s="70" t="str">
        <f>IFERROR(INDEX(_Datos!H:H,MATCH(638,_Datos!$I:$I,0)),"")</f>
        <v/>
      </c>
    </row>
    <row r="646" spans="1:8" x14ac:dyDescent="0.2">
      <c r="A646" s="63" t="str">
        <f>IFERROR(INDEX(_Datos!A:A,MATCH(639,_Datos!$I:$I,0)),"")</f>
        <v/>
      </c>
      <c r="B646" s="63" t="str">
        <f>IFERROR(INDEX(_Datos!B:B,MATCH(639,_Datos!$I:$I,0)),"")</f>
        <v/>
      </c>
      <c r="C646" s="63" t="str">
        <f>IFERROR(INDEX(_Datos!C:C,MATCH(639,_Datos!$I:$I,0)),"")</f>
        <v/>
      </c>
      <c r="D646" s="64" t="str">
        <f>IFERROR(INDEX(_Datos!D:D,MATCH(639,_Datos!$I:$I,0)),"")</f>
        <v/>
      </c>
      <c r="E646" s="65" t="str">
        <f>IFERROR(INDEX(_Datos!E:E,MATCH(639,_Datos!$I:$I,0)),"")</f>
        <v/>
      </c>
      <c r="F646" s="63" t="str">
        <f>IFERROR(INDEX(_Datos!F:F,MATCH(639,_Datos!$I:$I,0)),"")</f>
        <v/>
      </c>
      <c r="G646" s="63" t="str">
        <f>IFERROR(INDEX(_Datos!G:G,MATCH(639,_Datos!$I:$I,0)),"")</f>
        <v/>
      </c>
      <c r="H646" s="66" t="str">
        <f>IFERROR(INDEX(_Datos!H:H,MATCH(639,_Datos!$I:$I,0)),"")</f>
        <v/>
      </c>
    </row>
    <row r="647" spans="1:8" x14ac:dyDescent="0.2">
      <c r="A647" s="67" t="str">
        <f>IFERROR(INDEX(_Datos!A:A,MATCH(640,_Datos!$I:$I,0)),"")</f>
        <v/>
      </c>
      <c r="B647" s="67" t="str">
        <f>IFERROR(INDEX(_Datos!B:B,MATCH(640,_Datos!$I:$I,0)),"")</f>
        <v/>
      </c>
      <c r="C647" s="67" t="str">
        <f>IFERROR(INDEX(_Datos!C:C,MATCH(640,_Datos!$I:$I,0)),"")</f>
        <v/>
      </c>
      <c r="D647" s="68" t="str">
        <f>IFERROR(INDEX(_Datos!D:D,MATCH(640,_Datos!$I:$I,0)),"")</f>
        <v/>
      </c>
      <c r="E647" s="69" t="str">
        <f>IFERROR(INDEX(_Datos!E:E,MATCH(640,_Datos!$I:$I,0)),"")</f>
        <v/>
      </c>
      <c r="F647" s="67" t="str">
        <f>IFERROR(INDEX(_Datos!F:F,MATCH(640,_Datos!$I:$I,0)),"")</f>
        <v/>
      </c>
      <c r="G647" s="67" t="str">
        <f>IFERROR(INDEX(_Datos!G:G,MATCH(640,_Datos!$I:$I,0)),"")</f>
        <v/>
      </c>
      <c r="H647" s="70" t="str">
        <f>IFERROR(INDEX(_Datos!H:H,MATCH(640,_Datos!$I:$I,0)),"")</f>
        <v/>
      </c>
    </row>
    <row r="648" spans="1:8" x14ac:dyDescent="0.2">
      <c r="A648" s="63" t="str">
        <f>IFERROR(INDEX(_Datos!A:A,MATCH(641,_Datos!$I:$I,0)),"")</f>
        <v/>
      </c>
      <c r="B648" s="63" t="str">
        <f>IFERROR(INDEX(_Datos!B:B,MATCH(641,_Datos!$I:$I,0)),"")</f>
        <v/>
      </c>
      <c r="C648" s="63" t="str">
        <f>IFERROR(INDEX(_Datos!C:C,MATCH(641,_Datos!$I:$I,0)),"")</f>
        <v/>
      </c>
      <c r="D648" s="64" t="str">
        <f>IFERROR(INDEX(_Datos!D:D,MATCH(641,_Datos!$I:$I,0)),"")</f>
        <v/>
      </c>
      <c r="E648" s="65" t="str">
        <f>IFERROR(INDEX(_Datos!E:E,MATCH(641,_Datos!$I:$I,0)),"")</f>
        <v/>
      </c>
      <c r="F648" s="63" t="str">
        <f>IFERROR(INDEX(_Datos!F:F,MATCH(641,_Datos!$I:$I,0)),"")</f>
        <v/>
      </c>
      <c r="G648" s="63" t="str">
        <f>IFERROR(INDEX(_Datos!G:G,MATCH(641,_Datos!$I:$I,0)),"")</f>
        <v/>
      </c>
      <c r="H648" s="66" t="str">
        <f>IFERROR(INDEX(_Datos!H:H,MATCH(641,_Datos!$I:$I,0)),"")</f>
        <v/>
      </c>
    </row>
    <row r="649" spans="1:8" x14ac:dyDescent="0.2">
      <c r="A649" s="67" t="str">
        <f>IFERROR(INDEX(_Datos!A:A,MATCH(642,_Datos!$I:$I,0)),"")</f>
        <v/>
      </c>
      <c r="B649" s="67" t="str">
        <f>IFERROR(INDEX(_Datos!B:B,MATCH(642,_Datos!$I:$I,0)),"")</f>
        <v/>
      </c>
      <c r="C649" s="67" t="str">
        <f>IFERROR(INDEX(_Datos!C:C,MATCH(642,_Datos!$I:$I,0)),"")</f>
        <v/>
      </c>
      <c r="D649" s="68" t="str">
        <f>IFERROR(INDEX(_Datos!D:D,MATCH(642,_Datos!$I:$I,0)),"")</f>
        <v/>
      </c>
      <c r="E649" s="69" t="str">
        <f>IFERROR(INDEX(_Datos!E:E,MATCH(642,_Datos!$I:$I,0)),"")</f>
        <v/>
      </c>
      <c r="F649" s="67" t="str">
        <f>IFERROR(INDEX(_Datos!F:F,MATCH(642,_Datos!$I:$I,0)),"")</f>
        <v/>
      </c>
      <c r="G649" s="67" t="str">
        <f>IFERROR(INDEX(_Datos!G:G,MATCH(642,_Datos!$I:$I,0)),"")</f>
        <v/>
      </c>
      <c r="H649" s="70" t="str">
        <f>IFERROR(INDEX(_Datos!H:H,MATCH(642,_Datos!$I:$I,0)),"")</f>
        <v/>
      </c>
    </row>
    <row r="650" spans="1:8" x14ac:dyDescent="0.2">
      <c r="A650" s="63" t="str">
        <f>IFERROR(INDEX(_Datos!A:A,MATCH(643,_Datos!$I:$I,0)),"")</f>
        <v/>
      </c>
      <c r="B650" s="63" t="str">
        <f>IFERROR(INDEX(_Datos!B:B,MATCH(643,_Datos!$I:$I,0)),"")</f>
        <v/>
      </c>
      <c r="C650" s="63" t="str">
        <f>IFERROR(INDEX(_Datos!C:C,MATCH(643,_Datos!$I:$I,0)),"")</f>
        <v/>
      </c>
      <c r="D650" s="64" t="str">
        <f>IFERROR(INDEX(_Datos!D:D,MATCH(643,_Datos!$I:$I,0)),"")</f>
        <v/>
      </c>
      <c r="E650" s="65" t="str">
        <f>IFERROR(INDEX(_Datos!E:E,MATCH(643,_Datos!$I:$I,0)),"")</f>
        <v/>
      </c>
      <c r="F650" s="63" t="str">
        <f>IFERROR(INDEX(_Datos!F:F,MATCH(643,_Datos!$I:$I,0)),"")</f>
        <v/>
      </c>
      <c r="G650" s="63" t="str">
        <f>IFERROR(INDEX(_Datos!G:G,MATCH(643,_Datos!$I:$I,0)),"")</f>
        <v/>
      </c>
      <c r="H650" s="66" t="str">
        <f>IFERROR(INDEX(_Datos!H:H,MATCH(643,_Datos!$I:$I,0)),"")</f>
        <v/>
      </c>
    </row>
    <row r="651" spans="1:8" x14ac:dyDescent="0.2">
      <c r="A651" s="67" t="str">
        <f>IFERROR(INDEX(_Datos!A:A,MATCH(644,_Datos!$I:$I,0)),"")</f>
        <v/>
      </c>
      <c r="B651" s="67" t="str">
        <f>IFERROR(INDEX(_Datos!B:B,MATCH(644,_Datos!$I:$I,0)),"")</f>
        <v/>
      </c>
      <c r="C651" s="67" t="str">
        <f>IFERROR(INDEX(_Datos!C:C,MATCH(644,_Datos!$I:$I,0)),"")</f>
        <v/>
      </c>
      <c r="D651" s="68" t="str">
        <f>IFERROR(INDEX(_Datos!D:D,MATCH(644,_Datos!$I:$I,0)),"")</f>
        <v/>
      </c>
      <c r="E651" s="69" t="str">
        <f>IFERROR(INDEX(_Datos!E:E,MATCH(644,_Datos!$I:$I,0)),"")</f>
        <v/>
      </c>
      <c r="F651" s="67" t="str">
        <f>IFERROR(INDEX(_Datos!F:F,MATCH(644,_Datos!$I:$I,0)),"")</f>
        <v/>
      </c>
      <c r="G651" s="67" t="str">
        <f>IFERROR(INDEX(_Datos!G:G,MATCH(644,_Datos!$I:$I,0)),"")</f>
        <v/>
      </c>
      <c r="H651" s="70" t="str">
        <f>IFERROR(INDEX(_Datos!H:H,MATCH(644,_Datos!$I:$I,0)),"")</f>
        <v/>
      </c>
    </row>
    <row r="652" spans="1:8" x14ac:dyDescent="0.2">
      <c r="A652" s="63" t="str">
        <f>IFERROR(INDEX(_Datos!A:A,MATCH(645,_Datos!$I:$I,0)),"")</f>
        <v/>
      </c>
      <c r="B652" s="63" t="str">
        <f>IFERROR(INDEX(_Datos!B:B,MATCH(645,_Datos!$I:$I,0)),"")</f>
        <v/>
      </c>
      <c r="C652" s="63" t="str">
        <f>IFERROR(INDEX(_Datos!C:C,MATCH(645,_Datos!$I:$I,0)),"")</f>
        <v/>
      </c>
      <c r="D652" s="64" t="str">
        <f>IFERROR(INDEX(_Datos!D:D,MATCH(645,_Datos!$I:$I,0)),"")</f>
        <v/>
      </c>
      <c r="E652" s="65" t="str">
        <f>IFERROR(INDEX(_Datos!E:E,MATCH(645,_Datos!$I:$I,0)),"")</f>
        <v/>
      </c>
      <c r="F652" s="63" t="str">
        <f>IFERROR(INDEX(_Datos!F:F,MATCH(645,_Datos!$I:$I,0)),"")</f>
        <v/>
      </c>
      <c r="G652" s="63" t="str">
        <f>IFERROR(INDEX(_Datos!G:G,MATCH(645,_Datos!$I:$I,0)),"")</f>
        <v/>
      </c>
      <c r="H652" s="66" t="str">
        <f>IFERROR(INDEX(_Datos!H:H,MATCH(645,_Datos!$I:$I,0)),"")</f>
        <v/>
      </c>
    </row>
    <row r="653" spans="1:8" x14ac:dyDescent="0.2">
      <c r="A653" s="67" t="str">
        <f>IFERROR(INDEX(_Datos!A:A,MATCH(646,_Datos!$I:$I,0)),"")</f>
        <v/>
      </c>
      <c r="B653" s="67" t="str">
        <f>IFERROR(INDEX(_Datos!B:B,MATCH(646,_Datos!$I:$I,0)),"")</f>
        <v/>
      </c>
      <c r="C653" s="67" t="str">
        <f>IFERROR(INDEX(_Datos!C:C,MATCH(646,_Datos!$I:$I,0)),"")</f>
        <v/>
      </c>
      <c r="D653" s="68" t="str">
        <f>IFERROR(INDEX(_Datos!D:D,MATCH(646,_Datos!$I:$I,0)),"")</f>
        <v/>
      </c>
      <c r="E653" s="69" t="str">
        <f>IFERROR(INDEX(_Datos!E:E,MATCH(646,_Datos!$I:$I,0)),"")</f>
        <v/>
      </c>
      <c r="F653" s="67" t="str">
        <f>IFERROR(INDEX(_Datos!F:F,MATCH(646,_Datos!$I:$I,0)),"")</f>
        <v/>
      </c>
      <c r="G653" s="67" t="str">
        <f>IFERROR(INDEX(_Datos!G:G,MATCH(646,_Datos!$I:$I,0)),"")</f>
        <v/>
      </c>
      <c r="H653" s="70" t="str">
        <f>IFERROR(INDEX(_Datos!H:H,MATCH(646,_Datos!$I:$I,0)),"")</f>
        <v/>
      </c>
    </row>
    <row r="654" spans="1:8" x14ac:dyDescent="0.2">
      <c r="A654" s="63" t="str">
        <f>IFERROR(INDEX(_Datos!A:A,MATCH(647,_Datos!$I:$I,0)),"")</f>
        <v/>
      </c>
      <c r="B654" s="63" t="str">
        <f>IFERROR(INDEX(_Datos!B:B,MATCH(647,_Datos!$I:$I,0)),"")</f>
        <v/>
      </c>
      <c r="C654" s="63" t="str">
        <f>IFERROR(INDEX(_Datos!C:C,MATCH(647,_Datos!$I:$I,0)),"")</f>
        <v/>
      </c>
      <c r="D654" s="64" t="str">
        <f>IFERROR(INDEX(_Datos!D:D,MATCH(647,_Datos!$I:$I,0)),"")</f>
        <v/>
      </c>
      <c r="E654" s="65" t="str">
        <f>IFERROR(INDEX(_Datos!E:E,MATCH(647,_Datos!$I:$I,0)),"")</f>
        <v/>
      </c>
      <c r="F654" s="63" t="str">
        <f>IFERROR(INDEX(_Datos!F:F,MATCH(647,_Datos!$I:$I,0)),"")</f>
        <v/>
      </c>
      <c r="G654" s="63" t="str">
        <f>IFERROR(INDEX(_Datos!G:G,MATCH(647,_Datos!$I:$I,0)),"")</f>
        <v/>
      </c>
      <c r="H654" s="66" t="str">
        <f>IFERROR(INDEX(_Datos!H:H,MATCH(647,_Datos!$I:$I,0)),"")</f>
        <v/>
      </c>
    </row>
    <row r="655" spans="1:8" x14ac:dyDescent="0.2">
      <c r="A655" s="67" t="str">
        <f>IFERROR(INDEX(_Datos!A:A,MATCH(648,_Datos!$I:$I,0)),"")</f>
        <v/>
      </c>
      <c r="B655" s="67" t="str">
        <f>IFERROR(INDEX(_Datos!B:B,MATCH(648,_Datos!$I:$I,0)),"")</f>
        <v/>
      </c>
      <c r="C655" s="67" t="str">
        <f>IFERROR(INDEX(_Datos!C:C,MATCH(648,_Datos!$I:$I,0)),"")</f>
        <v/>
      </c>
      <c r="D655" s="68" t="str">
        <f>IFERROR(INDEX(_Datos!D:D,MATCH(648,_Datos!$I:$I,0)),"")</f>
        <v/>
      </c>
      <c r="E655" s="69" t="str">
        <f>IFERROR(INDEX(_Datos!E:E,MATCH(648,_Datos!$I:$I,0)),"")</f>
        <v/>
      </c>
      <c r="F655" s="67" t="str">
        <f>IFERROR(INDEX(_Datos!F:F,MATCH(648,_Datos!$I:$I,0)),"")</f>
        <v/>
      </c>
      <c r="G655" s="67" t="str">
        <f>IFERROR(INDEX(_Datos!G:G,MATCH(648,_Datos!$I:$I,0)),"")</f>
        <v/>
      </c>
      <c r="H655" s="70" t="str">
        <f>IFERROR(INDEX(_Datos!H:H,MATCH(648,_Datos!$I:$I,0)),"")</f>
        <v/>
      </c>
    </row>
    <row r="656" spans="1:8" x14ac:dyDescent="0.2">
      <c r="A656" s="63" t="str">
        <f>IFERROR(INDEX(_Datos!A:A,MATCH(649,_Datos!$I:$I,0)),"")</f>
        <v/>
      </c>
      <c r="B656" s="63" t="str">
        <f>IFERROR(INDEX(_Datos!B:B,MATCH(649,_Datos!$I:$I,0)),"")</f>
        <v/>
      </c>
      <c r="C656" s="63" t="str">
        <f>IFERROR(INDEX(_Datos!C:C,MATCH(649,_Datos!$I:$I,0)),"")</f>
        <v/>
      </c>
      <c r="D656" s="64" t="str">
        <f>IFERROR(INDEX(_Datos!D:D,MATCH(649,_Datos!$I:$I,0)),"")</f>
        <v/>
      </c>
      <c r="E656" s="65" t="str">
        <f>IFERROR(INDEX(_Datos!E:E,MATCH(649,_Datos!$I:$I,0)),"")</f>
        <v/>
      </c>
      <c r="F656" s="63" t="str">
        <f>IFERROR(INDEX(_Datos!F:F,MATCH(649,_Datos!$I:$I,0)),"")</f>
        <v/>
      </c>
      <c r="G656" s="63" t="str">
        <f>IFERROR(INDEX(_Datos!G:G,MATCH(649,_Datos!$I:$I,0)),"")</f>
        <v/>
      </c>
      <c r="H656" s="66" t="str">
        <f>IFERROR(INDEX(_Datos!H:H,MATCH(649,_Datos!$I:$I,0)),"")</f>
        <v/>
      </c>
    </row>
    <row r="657" spans="1:8" x14ac:dyDescent="0.2">
      <c r="A657" s="67" t="str">
        <f>IFERROR(INDEX(_Datos!A:A,MATCH(650,_Datos!$I:$I,0)),"")</f>
        <v/>
      </c>
      <c r="B657" s="67" t="str">
        <f>IFERROR(INDEX(_Datos!B:B,MATCH(650,_Datos!$I:$I,0)),"")</f>
        <v/>
      </c>
      <c r="C657" s="67" t="str">
        <f>IFERROR(INDEX(_Datos!C:C,MATCH(650,_Datos!$I:$I,0)),"")</f>
        <v/>
      </c>
      <c r="D657" s="68" t="str">
        <f>IFERROR(INDEX(_Datos!D:D,MATCH(650,_Datos!$I:$I,0)),"")</f>
        <v/>
      </c>
      <c r="E657" s="69" t="str">
        <f>IFERROR(INDEX(_Datos!E:E,MATCH(650,_Datos!$I:$I,0)),"")</f>
        <v/>
      </c>
      <c r="F657" s="67" t="str">
        <f>IFERROR(INDEX(_Datos!F:F,MATCH(650,_Datos!$I:$I,0)),"")</f>
        <v/>
      </c>
      <c r="G657" s="67" t="str">
        <f>IFERROR(INDEX(_Datos!G:G,MATCH(650,_Datos!$I:$I,0)),"")</f>
        <v/>
      </c>
      <c r="H657" s="70" t="str">
        <f>IFERROR(INDEX(_Datos!H:H,MATCH(650,_Datos!$I:$I,0)),"")</f>
        <v/>
      </c>
    </row>
    <row r="658" spans="1:8" x14ac:dyDescent="0.2">
      <c r="A658" s="63" t="str">
        <f>IFERROR(INDEX(_Datos!A:A,MATCH(651,_Datos!$I:$I,0)),"")</f>
        <v/>
      </c>
      <c r="B658" s="63" t="str">
        <f>IFERROR(INDEX(_Datos!B:B,MATCH(651,_Datos!$I:$I,0)),"")</f>
        <v/>
      </c>
      <c r="C658" s="63" t="str">
        <f>IFERROR(INDEX(_Datos!C:C,MATCH(651,_Datos!$I:$I,0)),"")</f>
        <v/>
      </c>
      <c r="D658" s="64" t="str">
        <f>IFERROR(INDEX(_Datos!D:D,MATCH(651,_Datos!$I:$I,0)),"")</f>
        <v/>
      </c>
      <c r="E658" s="65" t="str">
        <f>IFERROR(INDEX(_Datos!E:E,MATCH(651,_Datos!$I:$I,0)),"")</f>
        <v/>
      </c>
      <c r="F658" s="63" t="str">
        <f>IFERROR(INDEX(_Datos!F:F,MATCH(651,_Datos!$I:$I,0)),"")</f>
        <v/>
      </c>
      <c r="G658" s="63" t="str">
        <f>IFERROR(INDEX(_Datos!G:G,MATCH(651,_Datos!$I:$I,0)),"")</f>
        <v/>
      </c>
      <c r="H658" s="66" t="str">
        <f>IFERROR(INDEX(_Datos!H:H,MATCH(651,_Datos!$I:$I,0)),"")</f>
        <v/>
      </c>
    </row>
    <row r="659" spans="1:8" x14ac:dyDescent="0.2">
      <c r="A659" s="67" t="str">
        <f>IFERROR(INDEX(_Datos!A:A,MATCH(652,_Datos!$I:$I,0)),"")</f>
        <v/>
      </c>
      <c r="B659" s="67" t="str">
        <f>IFERROR(INDEX(_Datos!B:B,MATCH(652,_Datos!$I:$I,0)),"")</f>
        <v/>
      </c>
      <c r="C659" s="67" t="str">
        <f>IFERROR(INDEX(_Datos!C:C,MATCH(652,_Datos!$I:$I,0)),"")</f>
        <v/>
      </c>
      <c r="D659" s="68" t="str">
        <f>IFERROR(INDEX(_Datos!D:D,MATCH(652,_Datos!$I:$I,0)),"")</f>
        <v/>
      </c>
      <c r="E659" s="69" t="str">
        <f>IFERROR(INDEX(_Datos!E:E,MATCH(652,_Datos!$I:$I,0)),"")</f>
        <v/>
      </c>
      <c r="F659" s="67" t="str">
        <f>IFERROR(INDEX(_Datos!F:F,MATCH(652,_Datos!$I:$I,0)),"")</f>
        <v/>
      </c>
      <c r="G659" s="67" t="str">
        <f>IFERROR(INDEX(_Datos!G:G,MATCH(652,_Datos!$I:$I,0)),"")</f>
        <v/>
      </c>
      <c r="H659" s="70" t="str">
        <f>IFERROR(INDEX(_Datos!H:H,MATCH(652,_Datos!$I:$I,0)),"")</f>
        <v/>
      </c>
    </row>
    <row r="660" spans="1:8" x14ac:dyDescent="0.2">
      <c r="A660" s="63" t="str">
        <f>IFERROR(INDEX(_Datos!A:A,MATCH(653,_Datos!$I:$I,0)),"")</f>
        <v/>
      </c>
      <c r="B660" s="63" t="str">
        <f>IFERROR(INDEX(_Datos!B:B,MATCH(653,_Datos!$I:$I,0)),"")</f>
        <v/>
      </c>
      <c r="C660" s="63" t="str">
        <f>IFERROR(INDEX(_Datos!C:C,MATCH(653,_Datos!$I:$I,0)),"")</f>
        <v/>
      </c>
      <c r="D660" s="64" t="str">
        <f>IFERROR(INDEX(_Datos!D:D,MATCH(653,_Datos!$I:$I,0)),"")</f>
        <v/>
      </c>
      <c r="E660" s="65" t="str">
        <f>IFERROR(INDEX(_Datos!E:E,MATCH(653,_Datos!$I:$I,0)),"")</f>
        <v/>
      </c>
      <c r="F660" s="63" t="str">
        <f>IFERROR(INDEX(_Datos!F:F,MATCH(653,_Datos!$I:$I,0)),"")</f>
        <v/>
      </c>
      <c r="G660" s="63" t="str">
        <f>IFERROR(INDEX(_Datos!G:G,MATCH(653,_Datos!$I:$I,0)),"")</f>
        <v/>
      </c>
      <c r="H660" s="66" t="str">
        <f>IFERROR(INDEX(_Datos!H:H,MATCH(653,_Datos!$I:$I,0)),"")</f>
        <v/>
      </c>
    </row>
    <row r="661" spans="1:8" x14ac:dyDescent="0.2">
      <c r="A661" s="67" t="str">
        <f>IFERROR(INDEX(_Datos!A:A,MATCH(654,_Datos!$I:$I,0)),"")</f>
        <v/>
      </c>
      <c r="B661" s="67" t="str">
        <f>IFERROR(INDEX(_Datos!B:B,MATCH(654,_Datos!$I:$I,0)),"")</f>
        <v/>
      </c>
      <c r="C661" s="67" t="str">
        <f>IFERROR(INDEX(_Datos!C:C,MATCH(654,_Datos!$I:$I,0)),"")</f>
        <v/>
      </c>
      <c r="D661" s="68" t="str">
        <f>IFERROR(INDEX(_Datos!D:D,MATCH(654,_Datos!$I:$I,0)),"")</f>
        <v/>
      </c>
      <c r="E661" s="69" t="str">
        <f>IFERROR(INDEX(_Datos!E:E,MATCH(654,_Datos!$I:$I,0)),"")</f>
        <v/>
      </c>
      <c r="F661" s="67" t="str">
        <f>IFERROR(INDEX(_Datos!F:F,MATCH(654,_Datos!$I:$I,0)),"")</f>
        <v/>
      </c>
      <c r="G661" s="67" t="str">
        <f>IFERROR(INDEX(_Datos!G:G,MATCH(654,_Datos!$I:$I,0)),"")</f>
        <v/>
      </c>
      <c r="H661" s="70" t="str">
        <f>IFERROR(INDEX(_Datos!H:H,MATCH(654,_Datos!$I:$I,0)),"")</f>
        <v/>
      </c>
    </row>
    <row r="662" spans="1:8" x14ac:dyDescent="0.2">
      <c r="A662" s="63" t="str">
        <f>IFERROR(INDEX(_Datos!A:A,MATCH(655,_Datos!$I:$I,0)),"")</f>
        <v/>
      </c>
      <c r="B662" s="63" t="str">
        <f>IFERROR(INDEX(_Datos!B:B,MATCH(655,_Datos!$I:$I,0)),"")</f>
        <v/>
      </c>
      <c r="C662" s="63" t="str">
        <f>IFERROR(INDEX(_Datos!C:C,MATCH(655,_Datos!$I:$I,0)),"")</f>
        <v/>
      </c>
      <c r="D662" s="64" t="str">
        <f>IFERROR(INDEX(_Datos!D:D,MATCH(655,_Datos!$I:$I,0)),"")</f>
        <v/>
      </c>
      <c r="E662" s="65" t="str">
        <f>IFERROR(INDEX(_Datos!E:E,MATCH(655,_Datos!$I:$I,0)),"")</f>
        <v/>
      </c>
      <c r="F662" s="63" t="str">
        <f>IFERROR(INDEX(_Datos!F:F,MATCH(655,_Datos!$I:$I,0)),"")</f>
        <v/>
      </c>
      <c r="G662" s="63" t="str">
        <f>IFERROR(INDEX(_Datos!G:G,MATCH(655,_Datos!$I:$I,0)),"")</f>
        <v/>
      </c>
      <c r="H662" s="66" t="str">
        <f>IFERROR(INDEX(_Datos!H:H,MATCH(655,_Datos!$I:$I,0)),"")</f>
        <v/>
      </c>
    </row>
    <row r="663" spans="1:8" x14ac:dyDescent="0.2">
      <c r="A663" s="67" t="str">
        <f>IFERROR(INDEX(_Datos!A:A,MATCH(656,_Datos!$I:$I,0)),"")</f>
        <v/>
      </c>
      <c r="B663" s="67" t="str">
        <f>IFERROR(INDEX(_Datos!B:B,MATCH(656,_Datos!$I:$I,0)),"")</f>
        <v/>
      </c>
      <c r="C663" s="67" t="str">
        <f>IFERROR(INDEX(_Datos!C:C,MATCH(656,_Datos!$I:$I,0)),"")</f>
        <v/>
      </c>
      <c r="D663" s="68" t="str">
        <f>IFERROR(INDEX(_Datos!D:D,MATCH(656,_Datos!$I:$I,0)),"")</f>
        <v/>
      </c>
      <c r="E663" s="69" t="str">
        <f>IFERROR(INDEX(_Datos!E:E,MATCH(656,_Datos!$I:$I,0)),"")</f>
        <v/>
      </c>
      <c r="F663" s="67" t="str">
        <f>IFERROR(INDEX(_Datos!F:F,MATCH(656,_Datos!$I:$I,0)),"")</f>
        <v/>
      </c>
      <c r="G663" s="67" t="str">
        <f>IFERROR(INDEX(_Datos!G:G,MATCH(656,_Datos!$I:$I,0)),"")</f>
        <v/>
      </c>
      <c r="H663" s="70" t="str">
        <f>IFERROR(INDEX(_Datos!H:H,MATCH(656,_Datos!$I:$I,0)),"")</f>
        <v/>
      </c>
    </row>
    <row r="664" spans="1:8" x14ac:dyDescent="0.2">
      <c r="A664" s="63" t="str">
        <f>IFERROR(INDEX(_Datos!A:A,MATCH(657,_Datos!$I:$I,0)),"")</f>
        <v/>
      </c>
      <c r="B664" s="63" t="str">
        <f>IFERROR(INDEX(_Datos!B:B,MATCH(657,_Datos!$I:$I,0)),"")</f>
        <v/>
      </c>
      <c r="C664" s="63" t="str">
        <f>IFERROR(INDEX(_Datos!C:C,MATCH(657,_Datos!$I:$I,0)),"")</f>
        <v/>
      </c>
      <c r="D664" s="64" t="str">
        <f>IFERROR(INDEX(_Datos!D:D,MATCH(657,_Datos!$I:$I,0)),"")</f>
        <v/>
      </c>
      <c r="E664" s="65" t="str">
        <f>IFERROR(INDEX(_Datos!E:E,MATCH(657,_Datos!$I:$I,0)),"")</f>
        <v/>
      </c>
      <c r="F664" s="63" t="str">
        <f>IFERROR(INDEX(_Datos!F:F,MATCH(657,_Datos!$I:$I,0)),"")</f>
        <v/>
      </c>
      <c r="G664" s="63" t="str">
        <f>IFERROR(INDEX(_Datos!G:G,MATCH(657,_Datos!$I:$I,0)),"")</f>
        <v/>
      </c>
      <c r="H664" s="66" t="str">
        <f>IFERROR(INDEX(_Datos!H:H,MATCH(657,_Datos!$I:$I,0)),"")</f>
        <v/>
      </c>
    </row>
    <row r="665" spans="1:8" x14ac:dyDescent="0.2">
      <c r="A665" s="67" t="str">
        <f>IFERROR(INDEX(_Datos!A:A,MATCH(658,_Datos!$I:$I,0)),"")</f>
        <v/>
      </c>
      <c r="B665" s="67" t="str">
        <f>IFERROR(INDEX(_Datos!B:B,MATCH(658,_Datos!$I:$I,0)),"")</f>
        <v/>
      </c>
      <c r="C665" s="67" t="str">
        <f>IFERROR(INDEX(_Datos!C:C,MATCH(658,_Datos!$I:$I,0)),"")</f>
        <v/>
      </c>
      <c r="D665" s="68" t="str">
        <f>IFERROR(INDEX(_Datos!D:D,MATCH(658,_Datos!$I:$I,0)),"")</f>
        <v/>
      </c>
      <c r="E665" s="69" t="str">
        <f>IFERROR(INDEX(_Datos!E:E,MATCH(658,_Datos!$I:$I,0)),"")</f>
        <v/>
      </c>
      <c r="F665" s="67" t="str">
        <f>IFERROR(INDEX(_Datos!F:F,MATCH(658,_Datos!$I:$I,0)),"")</f>
        <v/>
      </c>
      <c r="G665" s="67" t="str">
        <f>IFERROR(INDEX(_Datos!G:G,MATCH(658,_Datos!$I:$I,0)),"")</f>
        <v/>
      </c>
      <c r="H665" s="70" t="str">
        <f>IFERROR(INDEX(_Datos!H:H,MATCH(658,_Datos!$I:$I,0)),"")</f>
        <v/>
      </c>
    </row>
    <row r="666" spans="1:8" x14ac:dyDescent="0.2">
      <c r="A666" s="63" t="str">
        <f>IFERROR(INDEX(_Datos!A:A,MATCH(659,_Datos!$I:$I,0)),"")</f>
        <v/>
      </c>
      <c r="B666" s="63" t="str">
        <f>IFERROR(INDEX(_Datos!B:B,MATCH(659,_Datos!$I:$I,0)),"")</f>
        <v/>
      </c>
      <c r="C666" s="63" t="str">
        <f>IFERROR(INDEX(_Datos!C:C,MATCH(659,_Datos!$I:$I,0)),"")</f>
        <v/>
      </c>
      <c r="D666" s="64" t="str">
        <f>IFERROR(INDEX(_Datos!D:D,MATCH(659,_Datos!$I:$I,0)),"")</f>
        <v/>
      </c>
      <c r="E666" s="65" t="str">
        <f>IFERROR(INDEX(_Datos!E:E,MATCH(659,_Datos!$I:$I,0)),"")</f>
        <v/>
      </c>
      <c r="F666" s="63" t="str">
        <f>IFERROR(INDEX(_Datos!F:F,MATCH(659,_Datos!$I:$I,0)),"")</f>
        <v/>
      </c>
      <c r="G666" s="63" t="str">
        <f>IFERROR(INDEX(_Datos!G:G,MATCH(659,_Datos!$I:$I,0)),"")</f>
        <v/>
      </c>
      <c r="H666" s="66" t="str">
        <f>IFERROR(INDEX(_Datos!H:H,MATCH(659,_Datos!$I:$I,0)),"")</f>
        <v/>
      </c>
    </row>
    <row r="667" spans="1:8" x14ac:dyDescent="0.2">
      <c r="A667" s="67" t="str">
        <f>IFERROR(INDEX(_Datos!A:A,MATCH(660,_Datos!$I:$I,0)),"")</f>
        <v/>
      </c>
      <c r="B667" s="67" t="str">
        <f>IFERROR(INDEX(_Datos!B:B,MATCH(660,_Datos!$I:$I,0)),"")</f>
        <v/>
      </c>
      <c r="C667" s="67" t="str">
        <f>IFERROR(INDEX(_Datos!C:C,MATCH(660,_Datos!$I:$I,0)),"")</f>
        <v/>
      </c>
      <c r="D667" s="68" t="str">
        <f>IFERROR(INDEX(_Datos!D:D,MATCH(660,_Datos!$I:$I,0)),"")</f>
        <v/>
      </c>
      <c r="E667" s="69" t="str">
        <f>IFERROR(INDEX(_Datos!E:E,MATCH(660,_Datos!$I:$I,0)),"")</f>
        <v/>
      </c>
      <c r="F667" s="67" t="str">
        <f>IFERROR(INDEX(_Datos!F:F,MATCH(660,_Datos!$I:$I,0)),"")</f>
        <v/>
      </c>
      <c r="G667" s="67" t="str">
        <f>IFERROR(INDEX(_Datos!G:G,MATCH(660,_Datos!$I:$I,0)),"")</f>
        <v/>
      </c>
      <c r="H667" s="70" t="str">
        <f>IFERROR(INDEX(_Datos!H:H,MATCH(660,_Datos!$I:$I,0)),"")</f>
        <v/>
      </c>
    </row>
    <row r="668" spans="1:8" x14ac:dyDescent="0.2">
      <c r="A668" s="63" t="str">
        <f>IFERROR(INDEX(_Datos!A:A,MATCH(661,_Datos!$I:$I,0)),"")</f>
        <v/>
      </c>
      <c r="B668" s="63" t="str">
        <f>IFERROR(INDEX(_Datos!B:B,MATCH(661,_Datos!$I:$I,0)),"")</f>
        <v/>
      </c>
      <c r="C668" s="63" t="str">
        <f>IFERROR(INDEX(_Datos!C:C,MATCH(661,_Datos!$I:$I,0)),"")</f>
        <v/>
      </c>
      <c r="D668" s="64" t="str">
        <f>IFERROR(INDEX(_Datos!D:D,MATCH(661,_Datos!$I:$I,0)),"")</f>
        <v/>
      </c>
      <c r="E668" s="65" t="str">
        <f>IFERROR(INDEX(_Datos!E:E,MATCH(661,_Datos!$I:$I,0)),"")</f>
        <v/>
      </c>
      <c r="F668" s="63" t="str">
        <f>IFERROR(INDEX(_Datos!F:F,MATCH(661,_Datos!$I:$I,0)),"")</f>
        <v/>
      </c>
      <c r="G668" s="63" t="str">
        <f>IFERROR(INDEX(_Datos!G:G,MATCH(661,_Datos!$I:$I,0)),"")</f>
        <v/>
      </c>
      <c r="H668" s="66" t="str">
        <f>IFERROR(INDEX(_Datos!H:H,MATCH(661,_Datos!$I:$I,0)),"")</f>
        <v/>
      </c>
    </row>
    <row r="669" spans="1:8" x14ac:dyDescent="0.2">
      <c r="A669" s="67" t="str">
        <f>IFERROR(INDEX(_Datos!A:A,MATCH(662,_Datos!$I:$I,0)),"")</f>
        <v/>
      </c>
      <c r="B669" s="67" t="str">
        <f>IFERROR(INDEX(_Datos!B:B,MATCH(662,_Datos!$I:$I,0)),"")</f>
        <v/>
      </c>
      <c r="C669" s="67" t="str">
        <f>IFERROR(INDEX(_Datos!C:C,MATCH(662,_Datos!$I:$I,0)),"")</f>
        <v/>
      </c>
      <c r="D669" s="68" t="str">
        <f>IFERROR(INDEX(_Datos!D:D,MATCH(662,_Datos!$I:$I,0)),"")</f>
        <v/>
      </c>
      <c r="E669" s="69" t="str">
        <f>IFERROR(INDEX(_Datos!E:E,MATCH(662,_Datos!$I:$I,0)),"")</f>
        <v/>
      </c>
      <c r="F669" s="67" t="str">
        <f>IFERROR(INDEX(_Datos!F:F,MATCH(662,_Datos!$I:$I,0)),"")</f>
        <v/>
      </c>
      <c r="G669" s="67" t="str">
        <f>IFERROR(INDEX(_Datos!G:G,MATCH(662,_Datos!$I:$I,0)),"")</f>
        <v/>
      </c>
      <c r="H669" s="70" t="str">
        <f>IFERROR(INDEX(_Datos!H:H,MATCH(662,_Datos!$I:$I,0)),"")</f>
        <v/>
      </c>
    </row>
    <row r="670" spans="1:8" x14ac:dyDescent="0.2">
      <c r="A670" s="63" t="str">
        <f>IFERROR(INDEX(_Datos!A:A,MATCH(663,_Datos!$I:$I,0)),"")</f>
        <v/>
      </c>
      <c r="B670" s="63" t="str">
        <f>IFERROR(INDEX(_Datos!B:B,MATCH(663,_Datos!$I:$I,0)),"")</f>
        <v/>
      </c>
      <c r="C670" s="63" t="str">
        <f>IFERROR(INDEX(_Datos!C:C,MATCH(663,_Datos!$I:$I,0)),"")</f>
        <v/>
      </c>
      <c r="D670" s="64" t="str">
        <f>IFERROR(INDEX(_Datos!D:D,MATCH(663,_Datos!$I:$I,0)),"")</f>
        <v/>
      </c>
      <c r="E670" s="65" t="str">
        <f>IFERROR(INDEX(_Datos!E:E,MATCH(663,_Datos!$I:$I,0)),"")</f>
        <v/>
      </c>
      <c r="F670" s="63" t="str">
        <f>IFERROR(INDEX(_Datos!F:F,MATCH(663,_Datos!$I:$I,0)),"")</f>
        <v/>
      </c>
      <c r="G670" s="63" t="str">
        <f>IFERROR(INDEX(_Datos!G:G,MATCH(663,_Datos!$I:$I,0)),"")</f>
        <v/>
      </c>
      <c r="H670" s="66" t="str">
        <f>IFERROR(INDEX(_Datos!H:H,MATCH(663,_Datos!$I:$I,0)),"")</f>
        <v/>
      </c>
    </row>
    <row r="671" spans="1:8" x14ac:dyDescent="0.2">
      <c r="A671" s="67" t="str">
        <f>IFERROR(INDEX(_Datos!A:A,MATCH(664,_Datos!$I:$I,0)),"")</f>
        <v/>
      </c>
      <c r="B671" s="67" t="str">
        <f>IFERROR(INDEX(_Datos!B:B,MATCH(664,_Datos!$I:$I,0)),"")</f>
        <v/>
      </c>
      <c r="C671" s="67" t="str">
        <f>IFERROR(INDEX(_Datos!C:C,MATCH(664,_Datos!$I:$I,0)),"")</f>
        <v/>
      </c>
      <c r="D671" s="68" t="str">
        <f>IFERROR(INDEX(_Datos!D:D,MATCH(664,_Datos!$I:$I,0)),"")</f>
        <v/>
      </c>
      <c r="E671" s="69" t="str">
        <f>IFERROR(INDEX(_Datos!E:E,MATCH(664,_Datos!$I:$I,0)),"")</f>
        <v/>
      </c>
      <c r="F671" s="67" t="str">
        <f>IFERROR(INDEX(_Datos!F:F,MATCH(664,_Datos!$I:$I,0)),"")</f>
        <v/>
      </c>
      <c r="G671" s="67" t="str">
        <f>IFERROR(INDEX(_Datos!G:G,MATCH(664,_Datos!$I:$I,0)),"")</f>
        <v/>
      </c>
      <c r="H671" s="70" t="str">
        <f>IFERROR(INDEX(_Datos!H:H,MATCH(664,_Datos!$I:$I,0)),"")</f>
        <v/>
      </c>
    </row>
    <row r="672" spans="1:8" x14ac:dyDescent="0.2">
      <c r="A672" s="63" t="str">
        <f>IFERROR(INDEX(_Datos!A:A,MATCH(665,_Datos!$I:$I,0)),"")</f>
        <v/>
      </c>
      <c r="B672" s="63" t="str">
        <f>IFERROR(INDEX(_Datos!B:B,MATCH(665,_Datos!$I:$I,0)),"")</f>
        <v/>
      </c>
      <c r="C672" s="63" t="str">
        <f>IFERROR(INDEX(_Datos!C:C,MATCH(665,_Datos!$I:$I,0)),"")</f>
        <v/>
      </c>
      <c r="D672" s="64" t="str">
        <f>IFERROR(INDEX(_Datos!D:D,MATCH(665,_Datos!$I:$I,0)),"")</f>
        <v/>
      </c>
      <c r="E672" s="65" t="str">
        <f>IFERROR(INDEX(_Datos!E:E,MATCH(665,_Datos!$I:$I,0)),"")</f>
        <v/>
      </c>
      <c r="F672" s="63" t="str">
        <f>IFERROR(INDEX(_Datos!F:F,MATCH(665,_Datos!$I:$I,0)),"")</f>
        <v/>
      </c>
      <c r="G672" s="63" t="str">
        <f>IFERROR(INDEX(_Datos!G:G,MATCH(665,_Datos!$I:$I,0)),"")</f>
        <v/>
      </c>
      <c r="H672" s="66" t="str">
        <f>IFERROR(INDEX(_Datos!H:H,MATCH(665,_Datos!$I:$I,0)),"")</f>
        <v/>
      </c>
    </row>
    <row r="673" spans="1:8" x14ac:dyDescent="0.2">
      <c r="A673" s="67" t="str">
        <f>IFERROR(INDEX(_Datos!A:A,MATCH(666,_Datos!$I:$I,0)),"")</f>
        <v/>
      </c>
      <c r="B673" s="67" t="str">
        <f>IFERROR(INDEX(_Datos!B:B,MATCH(666,_Datos!$I:$I,0)),"")</f>
        <v/>
      </c>
      <c r="C673" s="67" t="str">
        <f>IFERROR(INDEX(_Datos!C:C,MATCH(666,_Datos!$I:$I,0)),"")</f>
        <v/>
      </c>
      <c r="D673" s="68" t="str">
        <f>IFERROR(INDEX(_Datos!D:D,MATCH(666,_Datos!$I:$I,0)),"")</f>
        <v/>
      </c>
      <c r="E673" s="69" t="str">
        <f>IFERROR(INDEX(_Datos!E:E,MATCH(666,_Datos!$I:$I,0)),"")</f>
        <v/>
      </c>
      <c r="F673" s="67" t="str">
        <f>IFERROR(INDEX(_Datos!F:F,MATCH(666,_Datos!$I:$I,0)),"")</f>
        <v/>
      </c>
      <c r="G673" s="67" t="str">
        <f>IFERROR(INDEX(_Datos!G:G,MATCH(666,_Datos!$I:$I,0)),"")</f>
        <v/>
      </c>
      <c r="H673" s="70" t="str">
        <f>IFERROR(INDEX(_Datos!H:H,MATCH(666,_Datos!$I:$I,0)),"")</f>
        <v/>
      </c>
    </row>
    <row r="674" spans="1:8" x14ac:dyDescent="0.2">
      <c r="A674" s="63" t="str">
        <f>IFERROR(INDEX(_Datos!A:A,MATCH(667,_Datos!$I:$I,0)),"")</f>
        <v/>
      </c>
      <c r="B674" s="63" t="str">
        <f>IFERROR(INDEX(_Datos!B:B,MATCH(667,_Datos!$I:$I,0)),"")</f>
        <v/>
      </c>
      <c r="C674" s="63" t="str">
        <f>IFERROR(INDEX(_Datos!C:C,MATCH(667,_Datos!$I:$I,0)),"")</f>
        <v/>
      </c>
      <c r="D674" s="64" t="str">
        <f>IFERROR(INDEX(_Datos!D:D,MATCH(667,_Datos!$I:$I,0)),"")</f>
        <v/>
      </c>
      <c r="E674" s="65" t="str">
        <f>IFERROR(INDEX(_Datos!E:E,MATCH(667,_Datos!$I:$I,0)),"")</f>
        <v/>
      </c>
      <c r="F674" s="63" t="str">
        <f>IFERROR(INDEX(_Datos!F:F,MATCH(667,_Datos!$I:$I,0)),"")</f>
        <v/>
      </c>
      <c r="G674" s="63" t="str">
        <f>IFERROR(INDEX(_Datos!G:G,MATCH(667,_Datos!$I:$I,0)),"")</f>
        <v/>
      </c>
      <c r="H674" s="66" t="str">
        <f>IFERROR(INDEX(_Datos!H:H,MATCH(667,_Datos!$I:$I,0)),"")</f>
        <v/>
      </c>
    </row>
    <row r="675" spans="1:8" x14ac:dyDescent="0.2">
      <c r="A675" s="67" t="str">
        <f>IFERROR(INDEX(_Datos!A:A,MATCH(668,_Datos!$I:$I,0)),"")</f>
        <v/>
      </c>
      <c r="B675" s="67" t="str">
        <f>IFERROR(INDEX(_Datos!B:B,MATCH(668,_Datos!$I:$I,0)),"")</f>
        <v/>
      </c>
      <c r="C675" s="67" t="str">
        <f>IFERROR(INDEX(_Datos!C:C,MATCH(668,_Datos!$I:$I,0)),"")</f>
        <v/>
      </c>
      <c r="D675" s="68" t="str">
        <f>IFERROR(INDEX(_Datos!D:D,MATCH(668,_Datos!$I:$I,0)),"")</f>
        <v/>
      </c>
      <c r="E675" s="69" t="str">
        <f>IFERROR(INDEX(_Datos!E:E,MATCH(668,_Datos!$I:$I,0)),"")</f>
        <v/>
      </c>
      <c r="F675" s="67" t="str">
        <f>IFERROR(INDEX(_Datos!F:F,MATCH(668,_Datos!$I:$I,0)),"")</f>
        <v/>
      </c>
      <c r="G675" s="67" t="str">
        <f>IFERROR(INDEX(_Datos!G:G,MATCH(668,_Datos!$I:$I,0)),"")</f>
        <v/>
      </c>
      <c r="H675" s="70" t="str">
        <f>IFERROR(INDEX(_Datos!H:H,MATCH(668,_Datos!$I:$I,0)),"")</f>
        <v/>
      </c>
    </row>
    <row r="676" spans="1:8" x14ac:dyDescent="0.2">
      <c r="A676" s="63" t="str">
        <f>IFERROR(INDEX(_Datos!A:A,MATCH(669,_Datos!$I:$I,0)),"")</f>
        <v/>
      </c>
      <c r="B676" s="63" t="str">
        <f>IFERROR(INDEX(_Datos!B:B,MATCH(669,_Datos!$I:$I,0)),"")</f>
        <v/>
      </c>
      <c r="C676" s="63" t="str">
        <f>IFERROR(INDEX(_Datos!C:C,MATCH(669,_Datos!$I:$I,0)),"")</f>
        <v/>
      </c>
      <c r="D676" s="64" t="str">
        <f>IFERROR(INDEX(_Datos!D:D,MATCH(669,_Datos!$I:$I,0)),"")</f>
        <v/>
      </c>
      <c r="E676" s="65" t="str">
        <f>IFERROR(INDEX(_Datos!E:E,MATCH(669,_Datos!$I:$I,0)),"")</f>
        <v/>
      </c>
      <c r="F676" s="63" t="str">
        <f>IFERROR(INDEX(_Datos!F:F,MATCH(669,_Datos!$I:$I,0)),"")</f>
        <v/>
      </c>
      <c r="G676" s="63" t="str">
        <f>IFERROR(INDEX(_Datos!G:G,MATCH(669,_Datos!$I:$I,0)),"")</f>
        <v/>
      </c>
      <c r="H676" s="66" t="str">
        <f>IFERROR(INDEX(_Datos!H:H,MATCH(669,_Datos!$I:$I,0)),"")</f>
        <v/>
      </c>
    </row>
    <row r="677" spans="1:8" x14ac:dyDescent="0.2">
      <c r="A677" s="67" t="str">
        <f>IFERROR(INDEX(_Datos!A:A,MATCH(670,_Datos!$I:$I,0)),"")</f>
        <v/>
      </c>
      <c r="B677" s="67" t="str">
        <f>IFERROR(INDEX(_Datos!B:B,MATCH(670,_Datos!$I:$I,0)),"")</f>
        <v/>
      </c>
      <c r="C677" s="67" t="str">
        <f>IFERROR(INDEX(_Datos!C:C,MATCH(670,_Datos!$I:$I,0)),"")</f>
        <v/>
      </c>
      <c r="D677" s="68" t="str">
        <f>IFERROR(INDEX(_Datos!D:D,MATCH(670,_Datos!$I:$I,0)),"")</f>
        <v/>
      </c>
      <c r="E677" s="69" t="str">
        <f>IFERROR(INDEX(_Datos!E:E,MATCH(670,_Datos!$I:$I,0)),"")</f>
        <v/>
      </c>
      <c r="F677" s="67" t="str">
        <f>IFERROR(INDEX(_Datos!F:F,MATCH(670,_Datos!$I:$I,0)),"")</f>
        <v/>
      </c>
      <c r="G677" s="67" t="str">
        <f>IFERROR(INDEX(_Datos!G:G,MATCH(670,_Datos!$I:$I,0)),"")</f>
        <v/>
      </c>
      <c r="H677" s="70" t="str">
        <f>IFERROR(INDEX(_Datos!H:H,MATCH(670,_Datos!$I:$I,0)),"")</f>
        <v/>
      </c>
    </row>
    <row r="678" spans="1:8" x14ac:dyDescent="0.2">
      <c r="A678" s="63" t="str">
        <f>IFERROR(INDEX(_Datos!A:A,MATCH(671,_Datos!$I:$I,0)),"")</f>
        <v/>
      </c>
      <c r="B678" s="63" t="str">
        <f>IFERROR(INDEX(_Datos!B:B,MATCH(671,_Datos!$I:$I,0)),"")</f>
        <v/>
      </c>
      <c r="C678" s="63" t="str">
        <f>IFERROR(INDEX(_Datos!C:C,MATCH(671,_Datos!$I:$I,0)),"")</f>
        <v/>
      </c>
      <c r="D678" s="64" t="str">
        <f>IFERROR(INDEX(_Datos!D:D,MATCH(671,_Datos!$I:$I,0)),"")</f>
        <v/>
      </c>
      <c r="E678" s="65" t="str">
        <f>IFERROR(INDEX(_Datos!E:E,MATCH(671,_Datos!$I:$I,0)),"")</f>
        <v/>
      </c>
      <c r="F678" s="63" t="str">
        <f>IFERROR(INDEX(_Datos!F:F,MATCH(671,_Datos!$I:$I,0)),"")</f>
        <v/>
      </c>
      <c r="G678" s="63" t="str">
        <f>IFERROR(INDEX(_Datos!G:G,MATCH(671,_Datos!$I:$I,0)),"")</f>
        <v/>
      </c>
      <c r="H678" s="66" t="str">
        <f>IFERROR(INDEX(_Datos!H:H,MATCH(671,_Datos!$I:$I,0)),"")</f>
        <v/>
      </c>
    </row>
    <row r="679" spans="1:8" x14ac:dyDescent="0.2">
      <c r="A679" s="67" t="str">
        <f>IFERROR(INDEX(_Datos!A:A,MATCH(672,_Datos!$I:$I,0)),"")</f>
        <v/>
      </c>
      <c r="B679" s="67" t="str">
        <f>IFERROR(INDEX(_Datos!B:B,MATCH(672,_Datos!$I:$I,0)),"")</f>
        <v/>
      </c>
      <c r="C679" s="67" t="str">
        <f>IFERROR(INDEX(_Datos!C:C,MATCH(672,_Datos!$I:$I,0)),"")</f>
        <v/>
      </c>
      <c r="D679" s="68" t="str">
        <f>IFERROR(INDEX(_Datos!D:D,MATCH(672,_Datos!$I:$I,0)),"")</f>
        <v/>
      </c>
      <c r="E679" s="69" t="str">
        <f>IFERROR(INDEX(_Datos!E:E,MATCH(672,_Datos!$I:$I,0)),"")</f>
        <v/>
      </c>
      <c r="F679" s="67" t="str">
        <f>IFERROR(INDEX(_Datos!F:F,MATCH(672,_Datos!$I:$I,0)),"")</f>
        <v/>
      </c>
      <c r="G679" s="67" t="str">
        <f>IFERROR(INDEX(_Datos!G:G,MATCH(672,_Datos!$I:$I,0)),"")</f>
        <v/>
      </c>
      <c r="H679" s="70" t="str">
        <f>IFERROR(INDEX(_Datos!H:H,MATCH(672,_Datos!$I:$I,0)),"")</f>
        <v/>
      </c>
    </row>
    <row r="680" spans="1:8" x14ac:dyDescent="0.2">
      <c r="A680" s="63" t="str">
        <f>IFERROR(INDEX(_Datos!A:A,MATCH(673,_Datos!$I:$I,0)),"")</f>
        <v/>
      </c>
      <c r="B680" s="63" t="str">
        <f>IFERROR(INDEX(_Datos!B:B,MATCH(673,_Datos!$I:$I,0)),"")</f>
        <v/>
      </c>
      <c r="C680" s="63" t="str">
        <f>IFERROR(INDEX(_Datos!C:C,MATCH(673,_Datos!$I:$I,0)),"")</f>
        <v/>
      </c>
      <c r="D680" s="64" t="str">
        <f>IFERROR(INDEX(_Datos!D:D,MATCH(673,_Datos!$I:$I,0)),"")</f>
        <v/>
      </c>
      <c r="E680" s="65" t="str">
        <f>IFERROR(INDEX(_Datos!E:E,MATCH(673,_Datos!$I:$I,0)),"")</f>
        <v/>
      </c>
      <c r="F680" s="63" t="str">
        <f>IFERROR(INDEX(_Datos!F:F,MATCH(673,_Datos!$I:$I,0)),"")</f>
        <v/>
      </c>
      <c r="G680" s="63" t="str">
        <f>IFERROR(INDEX(_Datos!G:G,MATCH(673,_Datos!$I:$I,0)),"")</f>
        <v/>
      </c>
      <c r="H680" s="66" t="str">
        <f>IFERROR(INDEX(_Datos!H:H,MATCH(673,_Datos!$I:$I,0)),"")</f>
        <v/>
      </c>
    </row>
    <row r="681" spans="1:8" x14ac:dyDescent="0.2">
      <c r="A681" s="67" t="str">
        <f>IFERROR(INDEX(_Datos!A:A,MATCH(674,_Datos!$I:$I,0)),"")</f>
        <v/>
      </c>
      <c r="B681" s="67" t="str">
        <f>IFERROR(INDEX(_Datos!B:B,MATCH(674,_Datos!$I:$I,0)),"")</f>
        <v/>
      </c>
      <c r="C681" s="67" t="str">
        <f>IFERROR(INDEX(_Datos!C:C,MATCH(674,_Datos!$I:$I,0)),"")</f>
        <v/>
      </c>
      <c r="D681" s="68" t="str">
        <f>IFERROR(INDEX(_Datos!D:D,MATCH(674,_Datos!$I:$I,0)),"")</f>
        <v/>
      </c>
      <c r="E681" s="69" t="str">
        <f>IFERROR(INDEX(_Datos!E:E,MATCH(674,_Datos!$I:$I,0)),"")</f>
        <v/>
      </c>
      <c r="F681" s="67" t="str">
        <f>IFERROR(INDEX(_Datos!F:F,MATCH(674,_Datos!$I:$I,0)),"")</f>
        <v/>
      </c>
      <c r="G681" s="67" t="str">
        <f>IFERROR(INDEX(_Datos!G:G,MATCH(674,_Datos!$I:$I,0)),"")</f>
        <v/>
      </c>
      <c r="H681" s="70" t="str">
        <f>IFERROR(INDEX(_Datos!H:H,MATCH(674,_Datos!$I:$I,0)),"")</f>
        <v/>
      </c>
    </row>
    <row r="682" spans="1:8" x14ac:dyDescent="0.2">
      <c r="A682" s="63" t="str">
        <f>IFERROR(INDEX(_Datos!A:A,MATCH(675,_Datos!$I:$I,0)),"")</f>
        <v/>
      </c>
      <c r="B682" s="63" t="str">
        <f>IFERROR(INDEX(_Datos!B:B,MATCH(675,_Datos!$I:$I,0)),"")</f>
        <v/>
      </c>
      <c r="C682" s="63" t="str">
        <f>IFERROR(INDEX(_Datos!C:C,MATCH(675,_Datos!$I:$I,0)),"")</f>
        <v/>
      </c>
      <c r="D682" s="64" t="str">
        <f>IFERROR(INDEX(_Datos!D:D,MATCH(675,_Datos!$I:$I,0)),"")</f>
        <v/>
      </c>
      <c r="E682" s="65" t="str">
        <f>IFERROR(INDEX(_Datos!E:E,MATCH(675,_Datos!$I:$I,0)),"")</f>
        <v/>
      </c>
      <c r="F682" s="63" t="str">
        <f>IFERROR(INDEX(_Datos!F:F,MATCH(675,_Datos!$I:$I,0)),"")</f>
        <v/>
      </c>
      <c r="G682" s="63" t="str">
        <f>IFERROR(INDEX(_Datos!G:G,MATCH(675,_Datos!$I:$I,0)),"")</f>
        <v/>
      </c>
      <c r="H682" s="66" t="str">
        <f>IFERROR(INDEX(_Datos!H:H,MATCH(675,_Datos!$I:$I,0)),"")</f>
        <v/>
      </c>
    </row>
    <row r="683" spans="1:8" x14ac:dyDescent="0.2">
      <c r="A683" s="67" t="str">
        <f>IFERROR(INDEX(_Datos!A:A,MATCH(676,_Datos!$I:$I,0)),"")</f>
        <v/>
      </c>
      <c r="B683" s="67" t="str">
        <f>IFERROR(INDEX(_Datos!B:B,MATCH(676,_Datos!$I:$I,0)),"")</f>
        <v/>
      </c>
      <c r="C683" s="67" t="str">
        <f>IFERROR(INDEX(_Datos!C:C,MATCH(676,_Datos!$I:$I,0)),"")</f>
        <v/>
      </c>
      <c r="D683" s="68" t="str">
        <f>IFERROR(INDEX(_Datos!D:D,MATCH(676,_Datos!$I:$I,0)),"")</f>
        <v/>
      </c>
      <c r="E683" s="69" t="str">
        <f>IFERROR(INDEX(_Datos!E:E,MATCH(676,_Datos!$I:$I,0)),"")</f>
        <v/>
      </c>
      <c r="F683" s="67" t="str">
        <f>IFERROR(INDEX(_Datos!F:F,MATCH(676,_Datos!$I:$I,0)),"")</f>
        <v/>
      </c>
      <c r="G683" s="67" t="str">
        <f>IFERROR(INDEX(_Datos!G:G,MATCH(676,_Datos!$I:$I,0)),"")</f>
        <v/>
      </c>
      <c r="H683" s="70" t="str">
        <f>IFERROR(INDEX(_Datos!H:H,MATCH(676,_Datos!$I:$I,0)),"")</f>
        <v/>
      </c>
    </row>
    <row r="684" spans="1:8" x14ac:dyDescent="0.2">
      <c r="A684" s="63" t="str">
        <f>IFERROR(INDEX(_Datos!A:A,MATCH(677,_Datos!$I:$I,0)),"")</f>
        <v/>
      </c>
      <c r="B684" s="63" t="str">
        <f>IFERROR(INDEX(_Datos!B:B,MATCH(677,_Datos!$I:$I,0)),"")</f>
        <v/>
      </c>
      <c r="C684" s="63" t="str">
        <f>IFERROR(INDEX(_Datos!C:C,MATCH(677,_Datos!$I:$I,0)),"")</f>
        <v/>
      </c>
      <c r="D684" s="64" t="str">
        <f>IFERROR(INDEX(_Datos!D:D,MATCH(677,_Datos!$I:$I,0)),"")</f>
        <v/>
      </c>
      <c r="E684" s="65" t="str">
        <f>IFERROR(INDEX(_Datos!E:E,MATCH(677,_Datos!$I:$I,0)),"")</f>
        <v/>
      </c>
      <c r="F684" s="63" t="str">
        <f>IFERROR(INDEX(_Datos!F:F,MATCH(677,_Datos!$I:$I,0)),"")</f>
        <v/>
      </c>
      <c r="G684" s="63" t="str">
        <f>IFERROR(INDEX(_Datos!G:G,MATCH(677,_Datos!$I:$I,0)),"")</f>
        <v/>
      </c>
      <c r="H684" s="66" t="str">
        <f>IFERROR(INDEX(_Datos!H:H,MATCH(677,_Datos!$I:$I,0)),"")</f>
        <v/>
      </c>
    </row>
    <row r="685" spans="1:8" x14ac:dyDescent="0.2">
      <c r="A685" s="67" t="str">
        <f>IFERROR(INDEX(_Datos!A:A,MATCH(678,_Datos!$I:$I,0)),"")</f>
        <v/>
      </c>
      <c r="B685" s="67" t="str">
        <f>IFERROR(INDEX(_Datos!B:B,MATCH(678,_Datos!$I:$I,0)),"")</f>
        <v/>
      </c>
      <c r="C685" s="67" t="str">
        <f>IFERROR(INDEX(_Datos!C:C,MATCH(678,_Datos!$I:$I,0)),"")</f>
        <v/>
      </c>
      <c r="D685" s="68" t="str">
        <f>IFERROR(INDEX(_Datos!D:D,MATCH(678,_Datos!$I:$I,0)),"")</f>
        <v/>
      </c>
      <c r="E685" s="69" t="str">
        <f>IFERROR(INDEX(_Datos!E:E,MATCH(678,_Datos!$I:$I,0)),"")</f>
        <v/>
      </c>
      <c r="F685" s="67" t="str">
        <f>IFERROR(INDEX(_Datos!F:F,MATCH(678,_Datos!$I:$I,0)),"")</f>
        <v/>
      </c>
      <c r="G685" s="67" t="str">
        <f>IFERROR(INDEX(_Datos!G:G,MATCH(678,_Datos!$I:$I,0)),"")</f>
        <v/>
      </c>
      <c r="H685" s="70" t="str">
        <f>IFERROR(INDEX(_Datos!H:H,MATCH(678,_Datos!$I:$I,0)),"")</f>
        <v/>
      </c>
    </row>
    <row r="686" spans="1:8" x14ac:dyDescent="0.2">
      <c r="A686" s="63" t="str">
        <f>IFERROR(INDEX(_Datos!A:A,MATCH(679,_Datos!$I:$I,0)),"")</f>
        <v/>
      </c>
      <c r="B686" s="63" t="str">
        <f>IFERROR(INDEX(_Datos!B:B,MATCH(679,_Datos!$I:$I,0)),"")</f>
        <v/>
      </c>
      <c r="C686" s="63" t="str">
        <f>IFERROR(INDEX(_Datos!C:C,MATCH(679,_Datos!$I:$I,0)),"")</f>
        <v/>
      </c>
      <c r="D686" s="64" t="str">
        <f>IFERROR(INDEX(_Datos!D:D,MATCH(679,_Datos!$I:$I,0)),"")</f>
        <v/>
      </c>
      <c r="E686" s="65" t="str">
        <f>IFERROR(INDEX(_Datos!E:E,MATCH(679,_Datos!$I:$I,0)),"")</f>
        <v/>
      </c>
      <c r="F686" s="63" t="str">
        <f>IFERROR(INDEX(_Datos!F:F,MATCH(679,_Datos!$I:$I,0)),"")</f>
        <v/>
      </c>
      <c r="G686" s="63" t="str">
        <f>IFERROR(INDEX(_Datos!G:G,MATCH(679,_Datos!$I:$I,0)),"")</f>
        <v/>
      </c>
      <c r="H686" s="66" t="str">
        <f>IFERROR(INDEX(_Datos!H:H,MATCH(679,_Datos!$I:$I,0)),"")</f>
        <v/>
      </c>
    </row>
    <row r="687" spans="1:8" x14ac:dyDescent="0.2">
      <c r="A687" s="67" t="str">
        <f>IFERROR(INDEX(_Datos!A:A,MATCH(680,_Datos!$I:$I,0)),"")</f>
        <v/>
      </c>
      <c r="B687" s="67" t="str">
        <f>IFERROR(INDEX(_Datos!B:B,MATCH(680,_Datos!$I:$I,0)),"")</f>
        <v/>
      </c>
      <c r="C687" s="67" t="str">
        <f>IFERROR(INDEX(_Datos!C:C,MATCH(680,_Datos!$I:$I,0)),"")</f>
        <v/>
      </c>
      <c r="D687" s="68" t="str">
        <f>IFERROR(INDEX(_Datos!D:D,MATCH(680,_Datos!$I:$I,0)),"")</f>
        <v/>
      </c>
      <c r="E687" s="69" t="str">
        <f>IFERROR(INDEX(_Datos!E:E,MATCH(680,_Datos!$I:$I,0)),"")</f>
        <v/>
      </c>
      <c r="F687" s="67" t="str">
        <f>IFERROR(INDEX(_Datos!F:F,MATCH(680,_Datos!$I:$I,0)),"")</f>
        <v/>
      </c>
      <c r="G687" s="67" t="str">
        <f>IFERROR(INDEX(_Datos!G:G,MATCH(680,_Datos!$I:$I,0)),"")</f>
        <v/>
      </c>
      <c r="H687" s="70" t="str">
        <f>IFERROR(INDEX(_Datos!H:H,MATCH(680,_Datos!$I:$I,0)),"")</f>
        <v/>
      </c>
    </row>
    <row r="688" spans="1:8" x14ac:dyDescent="0.2">
      <c r="A688" s="63" t="str">
        <f>IFERROR(INDEX(_Datos!A:A,MATCH(681,_Datos!$I:$I,0)),"")</f>
        <v/>
      </c>
      <c r="B688" s="63" t="str">
        <f>IFERROR(INDEX(_Datos!B:B,MATCH(681,_Datos!$I:$I,0)),"")</f>
        <v/>
      </c>
      <c r="C688" s="63" t="str">
        <f>IFERROR(INDEX(_Datos!C:C,MATCH(681,_Datos!$I:$I,0)),"")</f>
        <v/>
      </c>
      <c r="D688" s="64" t="str">
        <f>IFERROR(INDEX(_Datos!D:D,MATCH(681,_Datos!$I:$I,0)),"")</f>
        <v/>
      </c>
      <c r="E688" s="65" t="str">
        <f>IFERROR(INDEX(_Datos!E:E,MATCH(681,_Datos!$I:$I,0)),"")</f>
        <v/>
      </c>
      <c r="F688" s="63" t="str">
        <f>IFERROR(INDEX(_Datos!F:F,MATCH(681,_Datos!$I:$I,0)),"")</f>
        <v/>
      </c>
      <c r="G688" s="63" t="str">
        <f>IFERROR(INDEX(_Datos!G:G,MATCH(681,_Datos!$I:$I,0)),"")</f>
        <v/>
      </c>
      <c r="H688" s="66" t="str">
        <f>IFERROR(INDEX(_Datos!H:H,MATCH(681,_Datos!$I:$I,0)),"")</f>
        <v/>
      </c>
    </row>
    <row r="689" spans="1:8" x14ac:dyDescent="0.2">
      <c r="A689" s="67" t="str">
        <f>IFERROR(INDEX(_Datos!A:A,MATCH(682,_Datos!$I:$I,0)),"")</f>
        <v/>
      </c>
      <c r="B689" s="67" t="str">
        <f>IFERROR(INDEX(_Datos!B:B,MATCH(682,_Datos!$I:$I,0)),"")</f>
        <v/>
      </c>
      <c r="C689" s="67" t="str">
        <f>IFERROR(INDEX(_Datos!C:C,MATCH(682,_Datos!$I:$I,0)),"")</f>
        <v/>
      </c>
      <c r="D689" s="68" t="str">
        <f>IFERROR(INDEX(_Datos!D:D,MATCH(682,_Datos!$I:$I,0)),"")</f>
        <v/>
      </c>
      <c r="E689" s="69" t="str">
        <f>IFERROR(INDEX(_Datos!E:E,MATCH(682,_Datos!$I:$I,0)),"")</f>
        <v/>
      </c>
      <c r="F689" s="67" t="str">
        <f>IFERROR(INDEX(_Datos!F:F,MATCH(682,_Datos!$I:$I,0)),"")</f>
        <v/>
      </c>
      <c r="G689" s="67" t="str">
        <f>IFERROR(INDEX(_Datos!G:G,MATCH(682,_Datos!$I:$I,0)),"")</f>
        <v/>
      </c>
      <c r="H689" s="70" t="str">
        <f>IFERROR(INDEX(_Datos!H:H,MATCH(682,_Datos!$I:$I,0)),"")</f>
        <v/>
      </c>
    </row>
    <row r="690" spans="1:8" x14ac:dyDescent="0.2">
      <c r="A690" s="63" t="str">
        <f>IFERROR(INDEX(_Datos!A:A,MATCH(683,_Datos!$I:$I,0)),"")</f>
        <v/>
      </c>
      <c r="B690" s="63" t="str">
        <f>IFERROR(INDEX(_Datos!B:B,MATCH(683,_Datos!$I:$I,0)),"")</f>
        <v/>
      </c>
      <c r="C690" s="63" t="str">
        <f>IFERROR(INDEX(_Datos!C:C,MATCH(683,_Datos!$I:$I,0)),"")</f>
        <v/>
      </c>
      <c r="D690" s="64" t="str">
        <f>IFERROR(INDEX(_Datos!D:D,MATCH(683,_Datos!$I:$I,0)),"")</f>
        <v/>
      </c>
      <c r="E690" s="65" t="str">
        <f>IFERROR(INDEX(_Datos!E:E,MATCH(683,_Datos!$I:$I,0)),"")</f>
        <v/>
      </c>
      <c r="F690" s="63" t="str">
        <f>IFERROR(INDEX(_Datos!F:F,MATCH(683,_Datos!$I:$I,0)),"")</f>
        <v/>
      </c>
      <c r="G690" s="63" t="str">
        <f>IFERROR(INDEX(_Datos!G:G,MATCH(683,_Datos!$I:$I,0)),"")</f>
        <v/>
      </c>
      <c r="H690" s="66" t="str">
        <f>IFERROR(INDEX(_Datos!H:H,MATCH(683,_Datos!$I:$I,0)),"")</f>
        <v/>
      </c>
    </row>
    <row r="691" spans="1:8" x14ac:dyDescent="0.2">
      <c r="A691" s="67" t="str">
        <f>IFERROR(INDEX(_Datos!A:A,MATCH(684,_Datos!$I:$I,0)),"")</f>
        <v/>
      </c>
      <c r="B691" s="67" t="str">
        <f>IFERROR(INDEX(_Datos!B:B,MATCH(684,_Datos!$I:$I,0)),"")</f>
        <v/>
      </c>
      <c r="C691" s="67" t="str">
        <f>IFERROR(INDEX(_Datos!C:C,MATCH(684,_Datos!$I:$I,0)),"")</f>
        <v/>
      </c>
      <c r="D691" s="68" t="str">
        <f>IFERROR(INDEX(_Datos!D:D,MATCH(684,_Datos!$I:$I,0)),"")</f>
        <v/>
      </c>
      <c r="E691" s="69" t="str">
        <f>IFERROR(INDEX(_Datos!E:E,MATCH(684,_Datos!$I:$I,0)),"")</f>
        <v/>
      </c>
      <c r="F691" s="67" t="str">
        <f>IFERROR(INDEX(_Datos!F:F,MATCH(684,_Datos!$I:$I,0)),"")</f>
        <v/>
      </c>
      <c r="G691" s="67" t="str">
        <f>IFERROR(INDEX(_Datos!G:G,MATCH(684,_Datos!$I:$I,0)),"")</f>
        <v/>
      </c>
      <c r="H691" s="70" t="str">
        <f>IFERROR(INDEX(_Datos!H:H,MATCH(684,_Datos!$I:$I,0)),"")</f>
        <v/>
      </c>
    </row>
    <row r="692" spans="1:8" x14ac:dyDescent="0.2">
      <c r="A692" s="63" t="str">
        <f>IFERROR(INDEX(_Datos!A:A,MATCH(685,_Datos!$I:$I,0)),"")</f>
        <v/>
      </c>
      <c r="B692" s="63" t="str">
        <f>IFERROR(INDEX(_Datos!B:B,MATCH(685,_Datos!$I:$I,0)),"")</f>
        <v/>
      </c>
      <c r="C692" s="63" t="str">
        <f>IFERROR(INDEX(_Datos!C:C,MATCH(685,_Datos!$I:$I,0)),"")</f>
        <v/>
      </c>
      <c r="D692" s="64" t="str">
        <f>IFERROR(INDEX(_Datos!D:D,MATCH(685,_Datos!$I:$I,0)),"")</f>
        <v/>
      </c>
      <c r="E692" s="65" t="str">
        <f>IFERROR(INDEX(_Datos!E:E,MATCH(685,_Datos!$I:$I,0)),"")</f>
        <v/>
      </c>
      <c r="F692" s="63" t="str">
        <f>IFERROR(INDEX(_Datos!F:F,MATCH(685,_Datos!$I:$I,0)),"")</f>
        <v/>
      </c>
      <c r="G692" s="63" t="str">
        <f>IFERROR(INDEX(_Datos!G:G,MATCH(685,_Datos!$I:$I,0)),"")</f>
        <v/>
      </c>
      <c r="H692" s="66" t="str">
        <f>IFERROR(INDEX(_Datos!H:H,MATCH(685,_Datos!$I:$I,0)),"")</f>
        <v/>
      </c>
    </row>
    <row r="693" spans="1:8" x14ac:dyDescent="0.2">
      <c r="A693" s="67" t="str">
        <f>IFERROR(INDEX(_Datos!A:A,MATCH(686,_Datos!$I:$I,0)),"")</f>
        <v/>
      </c>
      <c r="B693" s="67" t="str">
        <f>IFERROR(INDEX(_Datos!B:B,MATCH(686,_Datos!$I:$I,0)),"")</f>
        <v/>
      </c>
      <c r="C693" s="67" t="str">
        <f>IFERROR(INDEX(_Datos!C:C,MATCH(686,_Datos!$I:$I,0)),"")</f>
        <v/>
      </c>
      <c r="D693" s="68" t="str">
        <f>IFERROR(INDEX(_Datos!D:D,MATCH(686,_Datos!$I:$I,0)),"")</f>
        <v/>
      </c>
      <c r="E693" s="69" t="str">
        <f>IFERROR(INDEX(_Datos!E:E,MATCH(686,_Datos!$I:$I,0)),"")</f>
        <v/>
      </c>
      <c r="F693" s="67" t="str">
        <f>IFERROR(INDEX(_Datos!F:F,MATCH(686,_Datos!$I:$I,0)),"")</f>
        <v/>
      </c>
      <c r="G693" s="67" t="str">
        <f>IFERROR(INDEX(_Datos!G:G,MATCH(686,_Datos!$I:$I,0)),"")</f>
        <v/>
      </c>
      <c r="H693" s="70" t="str">
        <f>IFERROR(INDEX(_Datos!H:H,MATCH(686,_Datos!$I:$I,0)),"")</f>
        <v/>
      </c>
    </row>
    <row r="694" spans="1:8" x14ac:dyDescent="0.2">
      <c r="A694" s="63" t="str">
        <f>IFERROR(INDEX(_Datos!A:A,MATCH(687,_Datos!$I:$I,0)),"")</f>
        <v/>
      </c>
      <c r="B694" s="63" t="str">
        <f>IFERROR(INDEX(_Datos!B:B,MATCH(687,_Datos!$I:$I,0)),"")</f>
        <v/>
      </c>
      <c r="C694" s="63" t="str">
        <f>IFERROR(INDEX(_Datos!C:C,MATCH(687,_Datos!$I:$I,0)),"")</f>
        <v/>
      </c>
      <c r="D694" s="64" t="str">
        <f>IFERROR(INDEX(_Datos!D:D,MATCH(687,_Datos!$I:$I,0)),"")</f>
        <v/>
      </c>
      <c r="E694" s="65" t="str">
        <f>IFERROR(INDEX(_Datos!E:E,MATCH(687,_Datos!$I:$I,0)),"")</f>
        <v/>
      </c>
      <c r="F694" s="63" t="str">
        <f>IFERROR(INDEX(_Datos!F:F,MATCH(687,_Datos!$I:$I,0)),"")</f>
        <v/>
      </c>
      <c r="G694" s="63" t="str">
        <f>IFERROR(INDEX(_Datos!G:G,MATCH(687,_Datos!$I:$I,0)),"")</f>
        <v/>
      </c>
      <c r="H694" s="66" t="str">
        <f>IFERROR(INDEX(_Datos!H:H,MATCH(687,_Datos!$I:$I,0)),"")</f>
        <v/>
      </c>
    </row>
    <row r="695" spans="1:8" x14ac:dyDescent="0.2">
      <c r="A695" s="67" t="str">
        <f>IFERROR(INDEX(_Datos!A:A,MATCH(688,_Datos!$I:$I,0)),"")</f>
        <v/>
      </c>
      <c r="B695" s="67" t="str">
        <f>IFERROR(INDEX(_Datos!B:B,MATCH(688,_Datos!$I:$I,0)),"")</f>
        <v/>
      </c>
      <c r="C695" s="67" t="str">
        <f>IFERROR(INDEX(_Datos!C:C,MATCH(688,_Datos!$I:$I,0)),"")</f>
        <v/>
      </c>
      <c r="D695" s="68" t="str">
        <f>IFERROR(INDEX(_Datos!D:D,MATCH(688,_Datos!$I:$I,0)),"")</f>
        <v/>
      </c>
      <c r="E695" s="69" t="str">
        <f>IFERROR(INDEX(_Datos!E:E,MATCH(688,_Datos!$I:$I,0)),"")</f>
        <v/>
      </c>
      <c r="F695" s="67" t="str">
        <f>IFERROR(INDEX(_Datos!F:F,MATCH(688,_Datos!$I:$I,0)),"")</f>
        <v/>
      </c>
      <c r="G695" s="67" t="str">
        <f>IFERROR(INDEX(_Datos!G:G,MATCH(688,_Datos!$I:$I,0)),"")</f>
        <v/>
      </c>
      <c r="H695" s="70" t="str">
        <f>IFERROR(INDEX(_Datos!H:H,MATCH(688,_Datos!$I:$I,0)),"")</f>
        <v/>
      </c>
    </row>
    <row r="696" spans="1:8" x14ac:dyDescent="0.2">
      <c r="A696" s="63" t="str">
        <f>IFERROR(INDEX(_Datos!A:A,MATCH(689,_Datos!$I:$I,0)),"")</f>
        <v/>
      </c>
      <c r="B696" s="63" t="str">
        <f>IFERROR(INDEX(_Datos!B:B,MATCH(689,_Datos!$I:$I,0)),"")</f>
        <v/>
      </c>
      <c r="C696" s="63" t="str">
        <f>IFERROR(INDEX(_Datos!C:C,MATCH(689,_Datos!$I:$I,0)),"")</f>
        <v/>
      </c>
      <c r="D696" s="64" t="str">
        <f>IFERROR(INDEX(_Datos!D:D,MATCH(689,_Datos!$I:$I,0)),"")</f>
        <v/>
      </c>
      <c r="E696" s="65" t="str">
        <f>IFERROR(INDEX(_Datos!E:E,MATCH(689,_Datos!$I:$I,0)),"")</f>
        <v/>
      </c>
      <c r="F696" s="63" t="str">
        <f>IFERROR(INDEX(_Datos!F:F,MATCH(689,_Datos!$I:$I,0)),"")</f>
        <v/>
      </c>
      <c r="G696" s="63" t="str">
        <f>IFERROR(INDEX(_Datos!G:G,MATCH(689,_Datos!$I:$I,0)),"")</f>
        <v/>
      </c>
      <c r="H696" s="66" t="str">
        <f>IFERROR(INDEX(_Datos!H:H,MATCH(689,_Datos!$I:$I,0)),"")</f>
        <v/>
      </c>
    </row>
    <row r="697" spans="1:8" x14ac:dyDescent="0.2">
      <c r="A697" s="67" t="str">
        <f>IFERROR(INDEX(_Datos!A:A,MATCH(690,_Datos!$I:$I,0)),"")</f>
        <v/>
      </c>
      <c r="B697" s="67" t="str">
        <f>IFERROR(INDEX(_Datos!B:B,MATCH(690,_Datos!$I:$I,0)),"")</f>
        <v/>
      </c>
      <c r="C697" s="67" t="str">
        <f>IFERROR(INDEX(_Datos!C:C,MATCH(690,_Datos!$I:$I,0)),"")</f>
        <v/>
      </c>
      <c r="D697" s="68" t="str">
        <f>IFERROR(INDEX(_Datos!D:D,MATCH(690,_Datos!$I:$I,0)),"")</f>
        <v/>
      </c>
      <c r="E697" s="69" t="str">
        <f>IFERROR(INDEX(_Datos!E:E,MATCH(690,_Datos!$I:$I,0)),"")</f>
        <v/>
      </c>
      <c r="F697" s="67" t="str">
        <f>IFERROR(INDEX(_Datos!F:F,MATCH(690,_Datos!$I:$I,0)),"")</f>
        <v/>
      </c>
      <c r="G697" s="67" t="str">
        <f>IFERROR(INDEX(_Datos!G:G,MATCH(690,_Datos!$I:$I,0)),"")</f>
        <v/>
      </c>
      <c r="H697" s="70" t="str">
        <f>IFERROR(INDEX(_Datos!H:H,MATCH(690,_Datos!$I:$I,0)),"")</f>
        <v/>
      </c>
    </row>
    <row r="698" spans="1:8" x14ac:dyDescent="0.2">
      <c r="A698" s="63" t="str">
        <f>IFERROR(INDEX(_Datos!A:A,MATCH(691,_Datos!$I:$I,0)),"")</f>
        <v/>
      </c>
      <c r="B698" s="63" t="str">
        <f>IFERROR(INDEX(_Datos!B:B,MATCH(691,_Datos!$I:$I,0)),"")</f>
        <v/>
      </c>
      <c r="C698" s="63" t="str">
        <f>IFERROR(INDEX(_Datos!C:C,MATCH(691,_Datos!$I:$I,0)),"")</f>
        <v/>
      </c>
      <c r="D698" s="64" t="str">
        <f>IFERROR(INDEX(_Datos!D:D,MATCH(691,_Datos!$I:$I,0)),"")</f>
        <v/>
      </c>
      <c r="E698" s="65" t="str">
        <f>IFERROR(INDEX(_Datos!E:E,MATCH(691,_Datos!$I:$I,0)),"")</f>
        <v/>
      </c>
      <c r="F698" s="63" t="str">
        <f>IFERROR(INDEX(_Datos!F:F,MATCH(691,_Datos!$I:$I,0)),"")</f>
        <v/>
      </c>
      <c r="G698" s="63" t="str">
        <f>IFERROR(INDEX(_Datos!G:G,MATCH(691,_Datos!$I:$I,0)),"")</f>
        <v/>
      </c>
      <c r="H698" s="66" t="str">
        <f>IFERROR(INDEX(_Datos!H:H,MATCH(691,_Datos!$I:$I,0)),"")</f>
        <v/>
      </c>
    </row>
    <row r="699" spans="1:8" x14ac:dyDescent="0.2">
      <c r="A699" s="67" t="str">
        <f>IFERROR(INDEX(_Datos!A:A,MATCH(692,_Datos!$I:$I,0)),"")</f>
        <v/>
      </c>
      <c r="B699" s="67" t="str">
        <f>IFERROR(INDEX(_Datos!B:B,MATCH(692,_Datos!$I:$I,0)),"")</f>
        <v/>
      </c>
      <c r="C699" s="67" t="str">
        <f>IFERROR(INDEX(_Datos!C:C,MATCH(692,_Datos!$I:$I,0)),"")</f>
        <v/>
      </c>
      <c r="D699" s="68" t="str">
        <f>IFERROR(INDEX(_Datos!D:D,MATCH(692,_Datos!$I:$I,0)),"")</f>
        <v/>
      </c>
      <c r="E699" s="69" t="str">
        <f>IFERROR(INDEX(_Datos!E:E,MATCH(692,_Datos!$I:$I,0)),"")</f>
        <v/>
      </c>
      <c r="F699" s="67" t="str">
        <f>IFERROR(INDEX(_Datos!F:F,MATCH(692,_Datos!$I:$I,0)),"")</f>
        <v/>
      </c>
      <c r="G699" s="67" t="str">
        <f>IFERROR(INDEX(_Datos!G:G,MATCH(692,_Datos!$I:$I,0)),"")</f>
        <v/>
      </c>
      <c r="H699" s="70" t="str">
        <f>IFERROR(INDEX(_Datos!H:H,MATCH(692,_Datos!$I:$I,0)),"")</f>
        <v/>
      </c>
    </row>
    <row r="700" spans="1:8" x14ac:dyDescent="0.2">
      <c r="A700" s="63" t="str">
        <f>IFERROR(INDEX(_Datos!A:A,MATCH(693,_Datos!$I:$I,0)),"")</f>
        <v/>
      </c>
      <c r="B700" s="63" t="str">
        <f>IFERROR(INDEX(_Datos!B:B,MATCH(693,_Datos!$I:$I,0)),"")</f>
        <v/>
      </c>
      <c r="C700" s="63" t="str">
        <f>IFERROR(INDEX(_Datos!C:C,MATCH(693,_Datos!$I:$I,0)),"")</f>
        <v/>
      </c>
      <c r="D700" s="64" t="str">
        <f>IFERROR(INDEX(_Datos!D:D,MATCH(693,_Datos!$I:$I,0)),"")</f>
        <v/>
      </c>
      <c r="E700" s="65" t="str">
        <f>IFERROR(INDEX(_Datos!E:E,MATCH(693,_Datos!$I:$I,0)),"")</f>
        <v/>
      </c>
      <c r="F700" s="63" t="str">
        <f>IFERROR(INDEX(_Datos!F:F,MATCH(693,_Datos!$I:$I,0)),"")</f>
        <v/>
      </c>
      <c r="G700" s="63" t="str">
        <f>IFERROR(INDEX(_Datos!G:G,MATCH(693,_Datos!$I:$I,0)),"")</f>
        <v/>
      </c>
      <c r="H700" s="66" t="str">
        <f>IFERROR(INDEX(_Datos!H:H,MATCH(693,_Datos!$I:$I,0)),"")</f>
        <v/>
      </c>
    </row>
    <row r="701" spans="1:8" x14ac:dyDescent="0.2">
      <c r="A701" s="67" t="str">
        <f>IFERROR(INDEX(_Datos!A:A,MATCH(694,_Datos!$I:$I,0)),"")</f>
        <v/>
      </c>
      <c r="B701" s="67" t="str">
        <f>IFERROR(INDEX(_Datos!B:B,MATCH(694,_Datos!$I:$I,0)),"")</f>
        <v/>
      </c>
      <c r="C701" s="67" t="str">
        <f>IFERROR(INDEX(_Datos!C:C,MATCH(694,_Datos!$I:$I,0)),"")</f>
        <v/>
      </c>
      <c r="D701" s="68" t="str">
        <f>IFERROR(INDEX(_Datos!D:D,MATCH(694,_Datos!$I:$I,0)),"")</f>
        <v/>
      </c>
      <c r="E701" s="69" t="str">
        <f>IFERROR(INDEX(_Datos!E:E,MATCH(694,_Datos!$I:$I,0)),"")</f>
        <v/>
      </c>
      <c r="F701" s="67" t="str">
        <f>IFERROR(INDEX(_Datos!F:F,MATCH(694,_Datos!$I:$I,0)),"")</f>
        <v/>
      </c>
      <c r="G701" s="67" t="str">
        <f>IFERROR(INDEX(_Datos!G:G,MATCH(694,_Datos!$I:$I,0)),"")</f>
        <v/>
      </c>
      <c r="H701" s="70" t="str">
        <f>IFERROR(INDEX(_Datos!H:H,MATCH(694,_Datos!$I:$I,0)),"")</f>
        <v/>
      </c>
    </row>
    <row r="702" spans="1:8" x14ac:dyDescent="0.2">
      <c r="A702" s="63" t="str">
        <f>IFERROR(INDEX(_Datos!A:A,MATCH(695,_Datos!$I:$I,0)),"")</f>
        <v/>
      </c>
      <c r="B702" s="63" t="str">
        <f>IFERROR(INDEX(_Datos!B:B,MATCH(695,_Datos!$I:$I,0)),"")</f>
        <v/>
      </c>
      <c r="C702" s="63" t="str">
        <f>IFERROR(INDEX(_Datos!C:C,MATCH(695,_Datos!$I:$I,0)),"")</f>
        <v/>
      </c>
      <c r="D702" s="64" t="str">
        <f>IFERROR(INDEX(_Datos!D:D,MATCH(695,_Datos!$I:$I,0)),"")</f>
        <v/>
      </c>
      <c r="E702" s="65" t="str">
        <f>IFERROR(INDEX(_Datos!E:E,MATCH(695,_Datos!$I:$I,0)),"")</f>
        <v/>
      </c>
      <c r="F702" s="63" t="str">
        <f>IFERROR(INDEX(_Datos!F:F,MATCH(695,_Datos!$I:$I,0)),"")</f>
        <v/>
      </c>
      <c r="G702" s="63" t="str">
        <f>IFERROR(INDEX(_Datos!G:G,MATCH(695,_Datos!$I:$I,0)),"")</f>
        <v/>
      </c>
      <c r="H702" s="66" t="str">
        <f>IFERROR(INDEX(_Datos!H:H,MATCH(695,_Datos!$I:$I,0)),"")</f>
        <v/>
      </c>
    </row>
    <row r="703" spans="1:8" x14ac:dyDescent="0.2">
      <c r="A703" s="67" t="str">
        <f>IFERROR(INDEX(_Datos!A:A,MATCH(696,_Datos!$I:$I,0)),"")</f>
        <v/>
      </c>
      <c r="B703" s="67" t="str">
        <f>IFERROR(INDEX(_Datos!B:B,MATCH(696,_Datos!$I:$I,0)),"")</f>
        <v/>
      </c>
      <c r="C703" s="67" t="str">
        <f>IFERROR(INDEX(_Datos!C:C,MATCH(696,_Datos!$I:$I,0)),"")</f>
        <v/>
      </c>
      <c r="D703" s="68" t="str">
        <f>IFERROR(INDEX(_Datos!D:D,MATCH(696,_Datos!$I:$I,0)),"")</f>
        <v/>
      </c>
      <c r="E703" s="69" t="str">
        <f>IFERROR(INDEX(_Datos!E:E,MATCH(696,_Datos!$I:$I,0)),"")</f>
        <v/>
      </c>
      <c r="F703" s="67" t="str">
        <f>IFERROR(INDEX(_Datos!F:F,MATCH(696,_Datos!$I:$I,0)),"")</f>
        <v/>
      </c>
      <c r="G703" s="67" t="str">
        <f>IFERROR(INDEX(_Datos!G:G,MATCH(696,_Datos!$I:$I,0)),"")</f>
        <v/>
      </c>
      <c r="H703" s="70" t="str">
        <f>IFERROR(INDEX(_Datos!H:H,MATCH(696,_Datos!$I:$I,0)),"")</f>
        <v/>
      </c>
    </row>
    <row r="704" spans="1:8" x14ac:dyDescent="0.2">
      <c r="A704" s="63" t="str">
        <f>IFERROR(INDEX(_Datos!A:A,MATCH(697,_Datos!$I:$I,0)),"")</f>
        <v/>
      </c>
      <c r="B704" s="63" t="str">
        <f>IFERROR(INDEX(_Datos!B:B,MATCH(697,_Datos!$I:$I,0)),"")</f>
        <v/>
      </c>
      <c r="C704" s="63" t="str">
        <f>IFERROR(INDEX(_Datos!C:C,MATCH(697,_Datos!$I:$I,0)),"")</f>
        <v/>
      </c>
      <c r="D704" s="64" t="str">
        <f>IFERROR(INDEX(_Datos!D:D,MATCH(697,_Datos!$I:$I,0)),"")</f>
        <v/>
      </c>
      <c r="E704" s="65" t="str">
        <f>IFERROR(INDEX(_Datos!E:E,MATCH(697,_Datos!$I:$I,0)),"")</f>
        <v/>
      </c>
      <c r="F704" s="63" t="str">
        <f>IFERROR(INDEX(_Datos!F:F,MATCH(697,_Datos!$I:$I,0)),"")</f>
        <v/>
      </c>
      <c r="G704" s="63" t="str">
        <f>IFERROR(INDEX(_Datos!G:G,MATCH(697,_Datos!$I:$I,0)),"")</f>
        <v/>
      </c>
      <c r="H704" s="66" t="str">
        <f>IFERROR(INDEX(_Datos!H:H,MATCH(697,_Datos!$I:$I,0)),"")</f>
        <v/>
      </c>
    </row>
    <row r="705" spans="1:8" x14ac:dyDescent="0.2">
      <c r="A705" s="67" t="str">
        <f>IFERROR(INDEX(_Datos!A:A,MATCH(698,_Datos!$I:$I,0)),"")</f>
        <v/>
      </c>
      <c r="B705" s="67" t="str">
        <f>IFERROR(INDEX(_Datos!B:B,MATCH(698,_Datos!$I:$I,0)),"")</f>
        <v/>
      </c>
      <c r="C705" s="67" t="str">
        <f>IFERROR(INDEX(_Datos!C:C,MATCH(698,_Datos!$I:$I,0)),"")</f>
        <v/>
      </c>
      <c r="D705" s="68" t="str">
        <f>IFERROR(INDEX(_Datos!D:D,MATCH(698,_Datos!$I:$I,0)),"")</f>
        <v/>
      </c>
      <c r="E705" s="69" t="str">
        <f>IFERROR(INDEX(_Datos!E:E,MATCH(698,_Datos!$I:$I,0)),"")</f>
        <v/>
      </c>
      <c r="F705" s="67" t="str">
        <f>IFERROR(INDEX(_Datos!F:F,MATCH(698,_Datos!$I:$I,0)),"")</f>
        <v/>
      </c>
      <c r="G705" s="67" t="str">
        <f>IFERROR(INDEX(_Datos!G:G,MATCH(698,_Datos!$I:$I,0)),"")</f>
        <v/>
      </c>
      <c r="H705" s="70" t="str">
        <f>IFERROR(INDEX(_Datos!H:H,MATCH(698,_Datos!$I:$I,0)),"")</f>
        <v/>
      </c>
    </row>
    <row r="706" spans="1:8" x14ac:dyDescent="0.2">
      <c r="A706" s="63" t="str">
        <f>IFERROR(INDEX(_Datos!A:A,MATCH(699,_Datos!$I:$I,0)),"")</f>
        <v/>
      </c>
      <c r="B706" s="63" t="str">
        <f>IFERROR(INDEX(_Datos!B:B,MATCH(699,_Datos!$I:$I,0)),"")</f>
        <v/>
      </c>
      <c r="C706" s="63" t="str">
        <f>IFERROR(INDEX(_Datos!C:C,MATCH(699,_Datos!$I:$I,0)),"")</f>
        <v/>
      </c>
      <c r="D706" s="64" t="str">
        <f>IFERROR(INDEX(_Datos!D:D,MATCH(699,_Datos!$I:$I,0)),"")</f>
        <v/>
      </c>
      <c r="E706" s="65" t="str">
        <f>IFERROR(INDEX(_Datos!E:E,MATCH(699,_Datos!$I:$I,0)),"")</f>
        <v/>
      </c>
      <c r="F706" s="63" t="str">
        <f>IFERROR(INDEX(_Datos!F:F,MATCH(699,_Datos!$I:$I,0)),"")</f>
        <v/>
      </c>
      <c r="G706" s="63" t="str">
        <f>IFERROR(INDEX(_Datos!G:G,MATCH(699,_Datos!$I:$I,0)),"")</f>
        <v/>
      </c>
      <c r="H706" s="66" t="str">
        <f>IFERROR(INDEX(_Datos!H:H,MATCH(699,_Datos!$I:$I,0)),"")</f>
        <v/>
      </c>
    </row>
    <row r="707" spans="1:8" x14ac:dyDescent="0.2">
      <c r="A707" s="67" t="str">
        <f>IFERROR(INDEX(_Datos!A:A,MATCH(700,_Datos!$I:$I,0)),"")</f>
        <v/>
      </c>
      <c r="B707" s="67" t="str">
        <f>IFERROR(INDEX(_Datos!B:B,MATCH(700,_Datos!$I:$I,0)),"")</f>
        <v/>
      </c>
      <c r="C707" s="67" t="str">
        <f>IFERROR(INDEX(_Datos!C:C,MATCH(700,_Datos!$I:$I,0)),"")</f>
        <v/>
      </c>
      <c r="D707" s="68" t="str">
        <f>IFERROR(INDEX(_Datos!D:D,MATCH(700,_Datos!$I:$I,0)),"")</f>
        <v/>
      </c>
      <c r="E707" s="69" t="str">
        <f>IFERROR(INDEX(_Datos!E:E,MATCH(700,_Datos!$I:$I,0)),"")</f>
        <v/>
      </c>
      <c r="F707" s="67" t="str">
        <f>IFERROR(INDEX(_Datos!F:F,MATCH(700,_Datos!$I:$I,0)),"")</f>
        <v/>
      </c>
      <c r="G707" s="67" t="str">
        <f>IFERROR(INDEX(_Datos!G:G,MATCH(700,_Datos!$I:$I,0)),"")</f>
        <v/>
      </c>
      <c r="H707" s="70" t="str">
        <f>IFERROR(INDEX(_Datos!H:H,MATCH(700,_Datos!$I:$I,0)),"")</f>
        <v/>
      </c>
    </row>
    <row r="708" spans="1:8" x14ac:dyDescent="0.2">
      <c r="A708" s="63" t="str">
        <f>IFERROR(INDEX(_Datos!A:A,MATCH(701,_Datos!$I:$I,0)),"")</f>
        <v/>
      </c>
      <c r="B708" s="63" t="str">
        <f>IFERROR(INDEX(_Datos!B:B,MATCH(701,_Datos!$I:$I,0)),"")</f>
        <v/>
      </c>
      <c r="C708" s="63" t="str">
        <f>IFERROR(INDEX(_Datos!C:C,MATCH(701,_Datos!$I:$I,0)),"")</f>
        <v/>
      </c>
      <c r="D708" s="64" t="str">
        <f>IFERROR(INDEX(_Datos!D:D,MATCH(701,_Datos!$I:$I,0)),"")</f>
        <v/>
      </c>
      <c r="E708" s="65" t="str">
        <f>IFERROR(INDEX(_Datos!E:E,MATCH(701,_Datos!$I:$I,0)),"")</f>
        <v/>
      </c>
      <c r="F708" s="63" t="str">
        <f>IFERROR(INDEX(_Datos!F:F,MATCH(701,_Datos!$I:$I,0)),"")</f>
        <v/>
      </c>
      <c r="G708" s="63" t="str">
        <f>IFERROR(INDEX(_Datos!G:G,MATCH(701,_Datos!$I:$I,0)),"")</f>
        <v/>
      </c>
      <c r="H708" s="66" t="str">
        <f>IFERROR(INDEX(_Datos!H:H,MATCH(701,_Datos!$I:$I,0)),"")</f>
        <v/>
      </c>
    </row>
    <row r="709" spans="1:8" x14ac:dyDescent="0.2">
      <c r="A709" s="67" t="str">
        <f>IFERROR(INDEX(_Datos!A:A,MATCH(702,_Datos!$I:$I,0)),"")</f>
        <v/>
      </c>
      <c r="B709" s="67" t="str">
        <f>IFERROR(INDEX(_Datos!B:B,MATCH(702,_Datos!$I:$I,0)),"")</f>
        <v/>
      </c>
      <c r="C709" s="67" t="str">
        <f>IFERROR(INDEX(_Datos!C:C,MATCH(702,_Datos!$I:$I,0)),"")</f>
        <v/>
      </c>
      <c r="D709" s="68" t="str">
        <f>IFERROR(INDEX(_Datos!D:D,MATCH(702,_Datos!$I:$I,0)),"")</f>
        <v/>
      </c>
      <c r="E709" s="69" t="str">
        <f>IFERROR(INDEX(_Datos!E:E,MATCH(702,_Datos!$I:$I,0)),"")</f>
        <v/>
      </c>
      <c r="F709" s="67" t="str">
        <f>IFERROR(INDEX(_Datos!F:F,MATCH(702,_Datos!$I:$I,0)),"")</f>
        <v/>
      </c>
      <c r="G709" s="67" t="str">
        <f>IFERROR(INDEX(_Datos!G:G,MATCH(702,_Datos!$I:$I,0)),"")</f>
        <v/>
      </c>
      <c r="H709" s="70" t="str">
        <f>IFERROR(INDEX(_Datos!H:H,MATCH(702,_Datos!$I:$I,0)),"")</f>
        <v/>
      </c>
    </row>
    <row r="710" spans="1:8" x14ac:dyDescent="0.2">
      <c r="A710" s="63" t="str">
        <f>IFERROR(INDEX(_Datos!A:A,MATCH(703,_Datos!$I:$I,0)),"")</f>
        <v/>
      </c>
      <c r="B710" s="63" t="str">
        <f>IFERROR(INDEX(_Datos!B:B,MATCH(703,_Datos!$I:$I,0)),"")</f>
        <v/>
      </c>
      <c r="C710" s="63" t="str">
        <f>IFERROR(INDEX(_Datos!C:C,MATCH(703,_Datos!$I:$I,0)),"")</f>
        <v/>
      </c>
      <c r="D710" s="64" t="str">
        <f>IFERROR(INDEX(_Datos!D:D,MATCH(703,_Datos!$I:$I,0)),"")</f>
        <v/>
      </c>
      <c r="E710" s="65" t="str">
        <f>IFERROR(INDEX(_Datos!E:E,MATCH(703,_Datos!$I:$I,0)),"")</f>
        <v/>
      </c>
      <c r="F710" s="63" t="str">
        <f>IFERROR(INDEX(_Datos!F:F,MATCH(703,_Datos!$I:$I,0)),"")</f>
        <v/>
      </c>
      <c r="G710" s="63" t="str">
        <f>IFERROR(INDEX(_Datos!G:G,MATCH(703,_Datos!$I:$I,0)),"")</f>
        <v/>
      </c>
      <c r="H710" s="66" t="str">
        <f>IFERROR(INDEX(_Datos!H:H,MATCH(703,_Datos!$I:$I,0)),"")</f>
        <v/>
      </c>
    </row>
    <row r="711" spans="1:8" x14ac:dyDescent="0.2">
      <c r="A711" s="67" t="str">
        <f>IFERROR(INDEX(_Datos!A:A,MATCH(704,_Datos!$I:$I,0)),"")</f>
        <v/>
      </c>
      <c r="B711" s="67" t="str">
        <f>IFERROR(INDEX(_Datos!B:B,MATCH(704,_Datos!$I:$I,0)),"")</f>
        <v/>
      </c>
      <c r="C711" s="67" t="str">
        <f>IFERROR(INDEX(_Datos!C:C,MATCH(704,_Datos!$I:$I,0)),"")</f>
        <v/>
      </c>
      <c r="D711" s="68" t="str">
        <f>IFERROR(INDEX(_Datos!D:D,MATCH(704,_Datos!$I:$I,0)),"")</f>
        <v/>
      </c>
      <c r="E711" s="69" t="str">
        <f>IFERROR(INDEX(_Datos!E:E,MATCH(704,_Datos!$I:$I,0)),"")</f>
        <v/>
      </c>
      <c r="F711" s="67" t="str">
        <f>IFERROR(INDEX(_Datos!F:F,MATCH(704,_Datos!$I:$I,0)),"")</f>
        <v/>
      </c>
      <c r="G711" s="67" t="str">
        <f>IFERROR(INDEX(_Datos!G:G,MATCH(704,_Datos!$I:$I,0)),"")</f>
        <v/>
      </c>
      <c r="H711" s="70" t="str">
        <f>IFERROR(INDEX(_Datos!H:H,MATCH(704,_Datos!$I:$I,0)),"")</f>
        <v/>
      </c>
    </row>
    <row r="712" spans="1:8" x14ac:dyDescent="0.2">
      <c r="A712" s="63" t="str">
        <f>IFERROR(INDEX(_Datos!A:A,MATCH(705,_Datos!$I:$I,0)),"")</f>
        <v/>
      </c>
      <c r="B712" s="63" t="str">
        <f>IFERROR(INDEX(_Datos!B:B,MATCH(705,_Datos!$I:$I,0)),"")</f>
        <v/>
      </c>
      <c r="C712" s="63" t="str">
        <f>IFERROR(INDEX(_Datos!C:C,MATCH(705,_Datos!$I:$I,0)),"")</f>
        <v/>
      </c>
      <c r="D712" s="64" t="str">
        <f>IFERROR(INDEX(_Datos!D:D,MATCH(705,_Datos!$I:$I,0)),"")</f>
        <v/>
      </c>
      <c r="E712" s="65" t="str">
        <f>IFERROR(INDEX(_Datos!E:E,MATCH(705,_Datos!$I:$I,0)),"")</f>
        <v/>
      </c>
      <c r="F712" s="63" t="str">
        <f>IFERROR(INDEX(_Datos!F:F,MATCH(705,_Datos!$I:$I,0)),"")</f>
        <v/>
      </c>
      <c r="G712" s="63" t="str">
        <f>IFERROR(INDEX(_Datos!G:G,MATCH(705,_Datos!$I:$I,0)),"")</f>
        <v/>
      </c>
      <c r="H712" s="66" t="str">
        <f>IFERROR(INDEX(_Datos!H:H,MATCH(705,_Datos!$I:$I,0)),"")</f>
        <v/>
      </c>
    </row>
    <row r="713" spans="1:8" x14ac:dyDescent="0.2">
      <c r="A713" s="67" t="str">
        <f>IFERROR(INDEX(_Datos!A:A,MATCH(706,_Datos!$I:$I,0)),"")</f>
        <v/>
      </c>
      <c r="B713" s="67" t="str">
        <f>IFERROR(INDEX(_Datos!B:B,MATCH(706,_Datos!$I:$I,0)),"")</f>
        <v/>
      </c>
      <c r="C713" s="67" t="str">
        <f>IFERROR(INDEX(_Datos!C:C,MATCH(706,_Datos!$I:$I,0)),"")</f>
        <v/>
      </c>
      <c r="D713" s="68" t="str">
        <f>IFERROR(INDEX(_Datos!D:D,MATCH(706,_Datos!$I:$I,0)),"")</f>
        <v/>
      </c>
      <c r="E713" s="69" t="str">
        <f>IFERROR(INDEX(_Datos!E:E,MATCH(706,_Datos!$I:$I,0)),"")</f>
        <v/>
      </c>
      <c r="F713" s="67" t="str">
        <f>IFERROR(INDEX(_Datos!F:F,MATCH(706,_Datos!$I:$I,0)),"")</f>
        <v/>
      </c>
      <c r="G713" s="67" t="str">
        <f>IFERROR(INDEX(_Datos!G:G,MATCH(706,_Datos!$I:$I,0)),"")</f>
        <v/>
      </c>
      <c r="H713" s="70" t="str">
        <f>IFERROR(INDEX(_Datos!H:H,MATCH(706,_Datos!$I:$I,0)),"")</f>
        <v/>
      </c>
    </row>
    <row r="714" spans="1:8" x14ac:dyDescent="0.2">
      <c r="A714" s="63" t="str">
        <f>IFERROR(INDEX(_Datos!A:A,MATCH(707,_Datos!$I:$I,0)),"")</f>
        <v/>
      </c>
      <c r="B714" s="63" t="str">
        <f>IFERROR(INDEX(_Datos!B:B,MATCH(707,_Datos!$I:$I,0)),"")</f>
        <v/>
      </c>
      <c r="C714" s="63" t="str">
        <f>IFERROR(INDEX(_Datos!C:C,MATCH(707,_Datos!$I:$I,0)),"")</f>
        <v/>
      </c>
      <c r="D714" s="64" t="str">
        <f>IFERROR(INDEX(_Datos!D:D,MATCH(707,_Datos!$I:$I,0)),"")</f>
        <v/>
      </c>
      <c r="E714" s="65" t="str">
        <f>IFERROR(INDEX(_Datos!E:E,MATCH(707,_Datos!$I:$I,0)),"")</f>
        <v/>
      </c>
      <c r="F714" s="63" t="str">
        <f>IFERROR(INDEX(_Datos!F:F,MATCH(707,_Datos!$I:$I,0)),"")</f>
        <v/>
      </c>
      <c r="G714" s="63" t="str">
        <f>IFERROR(INDEX(_Datos!G:G,MATCH(707,_Datos!$I:$I,0)),"")</f>
        <v/>
      </c>
      <c r="H714" s="66" t="str">
        <f>IFERROR(INDEX(_Datos!H:H,MATCH(707,_Datos!$I:$I,0)),"")</f>
        <v/>
      </c>
    </row>
    <row r="715" spans="1:8" x14ac:dyDescent="0.2">
      <c r="A715" s="67" t="str">
        <f>IFERROR(INDEX(_Datos!A:A,MATCH(708,_Datos!$I:$I,0)),"")</f>
        <v/>
      </c>
      <c r="B715" s="67" t="str">
        <f>IFERROR(INDEX(_Datos!B:B,MATCH(708,_Datos!$I:$I,0)),"")</f>
        <v/>
      </c>
      <c r="C715" s="67" t="str">
        <f>IFERROR(INDEX(_Datos!C:C,MATCH(708,_Datos!$I:$I,0)),"")</f>
        <v/>
      </c>
      <c r="D715" s="68" t="str">
        <f>IFERROR(INDEX(_Datos!D:D,MATCH(708,_Datos!$I:$I,0)),"")</f>
        <v/>
      </c>
      <c r="E715" s="69" t="str">
        <f>IFERROR(INDEX(_Datos!E:E,MATCH(708,_Datos!$I:$I,0)),"")</f>
        <v/>
      </c>
      <c r="F715" s="67" t="str">
        <f>IFERROR(INDEX(_Datos!F:F,MATCH(708,_Datos!$I:$I,0)),"")</f>
        <v/>
      </c>
      <c r="G715" s="67" t="str">
        <f>IFERROR(INDEX(_Datos!G:G,MATCH(708,_Datos!$I:$I,0)),"")</f>
        <v/>
      </c>
      <c r="H715" s="70" t="str">
        <f>IFERROR(INDEX(_Datos!H:H,MATCH(708,_Datos!$I:$I,0)),"")</f>
        <v/>
      </c>
    </row>
    <row r="716" spans="1:8" x14ac:dyDescent="0.2">
      <c r="A716" s="63" t="str">
        <f>IFERROR(INDEX(_Datos!A:A,MATCH(709,_Datos!$I:$I,0)),"")</f>
        <v/>
      </c>
      <c r="B716" s="63" t="str">
        <f>IFERROR(INDEX(_Datos!B:B,MATCH(709,_Datos!$I:$I,0)),"")</f>
        <v/>
      </c>
      <c r="C716" s="63" t="str">
        <f>IFERROR(INDEX(_Datos!C:C,MATCH(709,_Datos!$I:$I,0)),"")</f>
        <v/>
      </c>
      <c r="D716" s="64" t="str">
        <f>IFERROR(INDEX(_Datos!D:D,MATCH(709,_Datos!$I:$I,0)),"")</f>
        <v/>
      </c>
      <c r="E716" s="65" t="str">
        <f>IFERROR(INDEX(_Datos!E:E,MATCH(709,_Datos!$I:$I,0)),"")</f>
        <v/>
      </c>
      <c r="F716" s="63" t="str">
        <f>IFERROR(INDEX(_Datos!F:F,MATCH(709,_Datos!$I:$I,0)),"")</f>
        <v/>
      </c>
      <c r="G716" s="63" t="str">
        <f>IFERROR(INDEX(_Datos!G:G,MATCH(709,_Datos!$I:$I,0)),"")</f>
        <v/>
      </c>
      <c r="H716" s="66" t="str">
        <f>IFERROR(INDEX(_Datos!H:H,MATCH(709,_Datos!$I:$I,0)),"")</f>
        <v/>
      </c>
    </row>
    <row r="717" spans="1:8" x14ac:dyDescent="0.2">
      <c r="A717" s="67" t="str">
        <f>IFERROR(INDEX(_Datos!A:A,MATCH(710,_Datos!$I:$I,0)),"")</f>
        <v/>
      </c>
      <c r="B717" s="67" t="str">
        <f>IFERROR(INDEX(_Datos!B:B,MATCH(710,_Datos!$I:$I,0)),"")</f>
        <v/>
      </c>
      <c r="C717" s="67" t="str">
        <f>IFERROR(INDEX(_Datos!C:C,MATCH(710,_Datos!$I:$I,0)),"")</f>
        <v/>
      </c>
      <c r="D717" s="68" t="str">
        <f>IFERROR(INDEX(_Datos!D:D,MATCH(710,_Datos!$I:$I,0)),"")</f>
        <v/>
      </c>
      <c r="E717" s="69" t="str">
        <f>IFERROR(INDEX(_Datos!E:E,MATCH(710,_Datos!$I:$I,0)),"")</f>
        <v/>
      </c>
      <c r="F717" s="67" t="str">
        <f>IFERROR(INDEX(_Datos!F:F,MATCH(710,_Datos!$I:$I,0)),"")</f>
        <v/>
      </c>
      <c r="G717" s="67" t="str">
        <f>IFERROR(INDEX(_Datos!G:G,MATCH(710,_Datos!$I:$I,0)),"")</f>
        <v/>
      </c>
      <c r="H717" s="70" t="str">
        <f>IFERROR(INDEX(_Datos!H:H,MATCH(710,_Datos!$I:$I,0)),"")</f>
        <v/>
      </c>
    </row>
    <row r="718" spans="1:8" x14ac:dyDescent="0.2">
      <c r="A718" s="63" t="str">
        <f>IFERROR(INDEX(_Datos!A:A,MATCH(711,_Datos!$I:$I,0)),"")</f>
        <v/>
      </c>
      <c r="B718" s="63" t="str">
        <f>IFERROR(INDEX(_Datos!B:B,MATCH(711,_Datos!$I:$I,0)),"")</f>
        <v/>
      </c>
      <c r="C718" s="63" t="str">
        <f>IFERROR(INDEX(_Datos!C:C,MATCH(711,_Datos!$I:$I,0)),"")</f>
        <v/>
      </c>
      <c r="D718" s="64" t="str">
        <f>IFERROR(INDEX(_Datos!D:D,MATCH(711,_Datos!$I:$I,0)),"")</f>
        <v/>
      </c>
      <c r="E718" s="65" t="str">
        <f>IFERROR(INDEX(_Datos!E:E,MATCH(711,_Datos!$I:$I,0)),"")</f>
        <v/>
      </c>
      <c r="F718" s="63" t="str">
        <f>IFERROR(INDEX(_Datos!F:F,MATCH(711,_Datos!$I:$I,0)),"")</f>
        <v/>
      </c>
      <c r="G718" s="63" t="str">
        <f>IFERROR(INDEX(_Datos!G:G,MATCH(711,_Datos!$I:$I,0)),"")</f>
        <v/>
      </c>
      <c r="H718" s="66" t="str">
        <f>IFERROR(INDEX(_Datos!H:H,MATCH(711,_Datos!$I:$I,0)),"")</f>
        <v/>
      </c>
    </row>
    <row r="719" spans="1:8" x14ac:dyDescent="0.2">
      <c r="A719" s="67" t="str">
        <f>IFERROR(INDEX(_Datos!A:A,MATCH(712,_Datos!$I:$I,0)),"")</f>
        <v/>
      </c>
      <c r="B719" s="67" t="str">
        <f>IFERROR(INDEX(_Datos!B:B,MATCH(712,_Datos!$I:$I,0)),"")</f>
        <v/>
      </c>
      <c r="C719" s="67" t="str">
        <f>IFERROR(INDEX(_Datos!C:C,MATCH(712,_Datos!$I:$I,0)),"")</f>
        <v/>
      </c>
      <c r="D719" s="68" t="str">
        <f>IFERROR(INDEX(_Datos!D:D,MATCH(712,_Datos!$I:$I,0)),"")</f>
        <v/>
      </c>
      <c r="E719" s="69" t="str">
        <f>IFERROR(INDEX(_Datos!E:E,MATCH(712,_Datos!$I:$I,0)),"")</f>
        <v/>
      </c>
      <c r="F719" s="67" t="str">
        <f>IFERROR(INDEX(_Datos!F:F,MATCH(712,_Datos!$I:$I,0)),"")</f>
        <v/>
      </c>
      <c r="G719" s="67" t="str">
        <f>IFERROR(INDEX(_Datos!G:G,MATCH(712,_Datos!$I:$I,0)),"")</f>
        <v/>
      </c>
      <c r="H719" s="70" t="str">
        <f>IFERROR(INDEX(_Datos!H:H,MATCH(712,_Datos!$I:$I,0)),"")</f>
        <v/>
      </c>
    </row>
    <row r="720" spans="1:8" x14ac:dyDescent="0.2">
      <c r="A720" s="63" t="str">
        <f>IFERROR(INDEX(_Datos!A:A,MATCH(713,_Datos!$I:$I,0)),"")</f>
        <v/>
      </c>
      <c r="B720" s="63" t="str">
        <f>IFERROR(INDEX(_Datos!B:B,MATCH(713,_Datos!$I:$I,0)),"")</f>
        <v/>
      </c>
      <c r="C720" s="63" t="str">
        <f>IFERROR(INDEX(_Datos!C:C,MATCH(713,_Datos!$I:$I,0)),"")</f>
        <v/>
      </c>
      <c r="D720" s="64" t="str">
        <f>IFERROR(INDEX(_Datos!D:D,MATCH(713,_Datos!$I:$I,0)),"")</f>
        <v/>
      </c>
      <c r="E720" s="65" t="str">
        <f>IFERROR(INDEX(_Datos!E:E,MATCH(713,_Datos!$I:$I,0)),"")</f>
        <v/>
      </c>
      <c r="F720" s="63" t="str">
        <f>IFERROR(INDEX(_Datos!F:F,MATCH(713,_Datos!$I:$I,0)),"")</f>
        <v/>
      </c>
      <c r="G720" s="63" t="str">
        <f>IFERROR(INDEX(_Datos!G:G,MATCH(713,_Datos!$I:$I,0)),"")</f>
        <v/>
      </c>
      <c r="H720" s="66" t="str">
        <f>IFERROR(INDEX(_Datos!H:H,MATCH(713,_Datos!$I:$I,0)),"")</f>
        <v/>
      </c>
    </row>
    <row r="721" spans="1:8" x14ac:dyDescent="0.2">
      <c r="A721" s="67" t="str">
        <f>IFERROR(INDEX(_Datos!A:A,MATCH(714,_Datos!$I:$I,0)),"")</f>
        <v/>
      </c>
      <c r="B721" s="67" t="str">
        <f>IFERROR(INDEX(_Datos!B:B,MATCH(714,_Datos!$I:$I,0)),"")</f>
        <v/>
      </c>
      <c r="C721" s="67" t="str">
        <f>IFERROR(INDEX(_Datos!C:C,MATCH(714,_Datos!$I:$I,0)),"")</f>
        <v/>
      </c>
      <c r="D721" s="68" t="str">
        <f>IFERROR(INDEX(_Datos!D:D,MATCH(714,_Datos!$I:$I,0)),"")</f>
        <v/>
      </c>
      <c r="E721" s="69" t="str">
        <f>IFERROR(INDEX(_Datos!E:E,MATCH(714,_Datos!$I:$I,0)),"")</f>
        <v/>
      </c>
      <c r="F721" s="67" t="str">
        <f>IFERROR(INDEX(_Datos!F:F,MATCH(714,_Datos!$I:$I,0)),"")</f>
        <v/>
      </c>
      <c r="G721" s="67" t="str">
        <f>IFERROR(INDEX(_Datos!G:G,MATCH(714,_Datos!$I:$I,0)),"")</f>
        <v/>
      </c>
      <c r="H721" s="70" t="str">
        <f>IFERROR(INDEX(_Datos!H:H,MATCH(714,_Datos!$I:$I,0)),"")</f>
        <v/>
      </c>
    </row>
    <row r="722" spans="1:8" x14ac:dyDescent="0.2">
      <c r="A722" s="63" t="str">
        <f>IFERROR(INDEX(_Datos!A:A,MATCH(715,_Datos!$I:$I,0)),"")</f>
        <v/>
      </c>
      <c r="B722" s="63" t="str">
        <f>IFERROR(INDEX(_Datos!B:B,MATCH(715,_Datos!$I:$I,0)),"")</f>
        <v/>
      </c>
      <c r="C722" s="63" t="str">
        <f>IFERROR(INDEX(_Datos!C:C,MATCH(715,_Datos!$I:$I,0)),"")</f>
        <v/>
      </c>
      <c r="D722" s="64" t="str">
        <f>IFERROR(INDEX(_Datos!D:D,MATCH(715,_Datos!$I:$I,0)),"")</f>
        <v/>
      </c>
      <c r="E722" s="65" t="str">
        <f>IFERROR(INDEX(_Datos!E:E,MATCH(715,_Datos!$I:$I,0)),"")</f>
        <v/>
      </c>
      <c r="F722" s="63" t="str">
        <f>IFERROR(INDEX(_Datos!F:F,MATCH(715,_Datos!$I:$I,0)),"")</f>
        <v/>
      </c>
      <c r="G722" s="63" t="str">
        <f>IFERROR(INDEX(_Datos!G:G,MATCH(715,_Datos!$I:$I,0)),"")</f>
        <v/>
      </c>
      <c r="H722" s="66" t="str">
        <f>IFERROR(INDEX(_Datos!H:H,MATCH(715,_Datos!$I:$I,0)),"")</f>
        <v/>
      </c>
    </row>
    <row r="723" spans="1:8" x14ac:dyDescent="0.2">
      <c r="A723" s="67" t="str">
        <f>IFERROR(INDEX(_Datos!A:A,MATCH(716,_Datos!$I:$I,0)),"")</f>
        <v/>
      </c>
      <c r="B723" s="67" t="str">
        <f>IFERROR(INDEX(_Datos!B:B,MATCH(716,_Datos!$I:$I,0)),"")</f>
        <v/>
      </c>
      <c r="C723" s="67" t="str">
        <f>IFERROR(INDEX(_Datos!C:C,MATCH(716,_Datos!$I:$I,0)),"")</f>
        <v/>
      </c>
      <c r="D723" s="68" t="str">
        <f>IFERROR(INDEX(_Datos!D:D,MATCH(716,_Datos!$I:$I,0)),"")</f>
        <v/>
      </c>
      <c r="E723" s="69" t="str">
        <f>IFERROR(INDEX(_Datos!E:E,MATCH(716,_Datos!$I:$I,0)),"")</f>
        <v/>
      </c>
      <c r="F723" s="67" t="str">
        <f>IFERROR(INDEX(_Datos!F:F,MATCH(716,_Datos!$I:$I,0)),"")</f>
        <v/>
      </c>
      <c r="G723" s="67" t="str">
        <f>IFERROR(INDEX(_Datos!G:G,MATCH(716,_Datos!$I:$I,0)),"")</f>
        <v/>
      </c>
      <c r="H723" s="70" t="str">
        <f>IFERROR(INDEX(_Datos!H:H,MATCH(716,_Datos!$I:$I,0)),"")</f>
        <v/>
      </c>
    </row>
    <row r="724" spans="1:8" x14ac:dyDescent="0.2">
      <c r="A724" s="63" t="str">
        <f>IFERROR(INDEX(_Datos!A:A,MATCH(717,_Datos!$I:$I,0)),"")</f>
        <v/>
      </c>
      <c r="B724" s="63" t="str">
        <f>IFERROR(INDEX(_Datos!B:B,MATCH(717,_Datos!$I:$I,0)),"")</f>
        <v/>
      </c>
      <c r="C724" s="63" t="str">
        <f>IFERROR(INDEX(_Datos!C:C,MATCH(717,_Datos!$I:$I,0)),"")</f>
        <v/>
      </c>
      <c r="D724" s="64" t="str">
        <f>IFERROR(INDEX(_Datos!D:D,MATCH(717,_Datos!$I:$I,0)),"")</f>
        <v/>
      </c>
      <c r="E724" s="65" t="str">
        <f>IFERROR(INDEX(_Datos!E:E,MATCH(717,_Datos!$I:$I,0)),"")</f>
        <v/>
      </c>
      <c r="F724" s="63" t="str">
        <f>IFERROR(INDEX(_Datos!F:F,MATCH(717,_Datos!$I:$I,0)),"")</f>
        <v/>
      </c>
      <c r="G724" s="63" t="str">
        <f>IFERROR(INDEX(_Datos!G:G,MATCH(717,_Datos!$I:$I,0)),"")</f>
        <v/>
      </c>
      <c r="H724" s="66" t="str">
        <f>IFERROR(INDEX(_Datos!H:H,MATCH(717,_Datos!$I:$I,0)),"")</f>
        <v/>
      </c>
    </row>
    <row r="725" spans="1:8" x14ac:dyDescent="0.2">
      <c r="A725" s="67" t="str">
        <f>IFERROR(INDEX(_Datos!A:A,MATCH(718,_Datos!$I:$I,0)),"")</f>
        <v/>
      </c>
      <c r="B725" s="67" t="str">
        <f>IFERROR(INDEX(_Datos!B:B,MATCH(718,_Datos!$I:$I,0)),"")</f>
        <v/>
      </c>
      <c r="C725" s="67" t="str">
        <f>IFERROR(INDEX(_Datos!C:C,MATCH(718,_Datos!$I:$I,0)),"")</f>
        <v/>
      </c>
      <c r="D725" s="68" t="str">
        <f>IFERROR(INDEX(_Datos!D:D,MATCH(718,_Datos!$I:$I,0)),"")</f>
        <v/>
      </c>
      <c r="E725" s="69" t="str">
        <f>IFERROR(INDEX(_Datos!E:E,MATCH(718,_Datos!$I:$I,0)),"")</f>
        <v/>
      </c>
      <c r="F725" s="67" t="str">
        <f>IFERROR(INDEX(_Datos!F:F,MATCH(718,_Datos!$I:$I,0)),"")</f>
        <v/>
      </c>
      <c r="G725" s="67" t="str">
        <f>IFERROR(INDEX(_Datos!G:G,MATCH(718,_Datos!$I:$I,0)),"")</f>
        <v/>
      </c>
      <c r="H725" s="70" t="str">
        <f>IFERROR(INDEX(_Datos!H:H,MATCH(718,_Datos!$I:$I,0)),"")</f>
        <v/>
      </c>
    </row>
    <row r="726" spans="1:8" x14ac:dyDescent="0.2">
      <c r="A726" s="63" t="str">
        <f>IFERROR(INDEX(_Datos!A:A,MATCH(719,_Datos!$I:$I,0)),"")</f>
        <v/>
      </c>
      <c r="B726" s="63" t="str">
        <f>IFERROR(INDEX(_Datos!B:B,MATCH(719,_Datos!$I:$I,0)),"")</f>
        <v/>
      </c>
      <c r="C726" s="63" t="str">
        <f>IFERROR(INDEX(_Datos!C:C,MATCH(719,_Datos!$I:$I,0)),"")</f>
        <v/>
      </c>
      <c r="D726" s="64" t="str">
        <f>IFERROR(INDEX(_Datos!D:D,MATCH(719,_Datos!$I:$I,0)),"")</f>
        <v/>
      </c>
      <c r="E726" s="65" t="str">
        <f>IFERROR(INDEX(_Datos!E:E,MATCH(719,_Datos!$I:$I,0)),"")</f>
        <v/>
      </c>
      <c r="F726" s="63" t="str">
        <f>IFERROR(INDEX(_Datos!F:F,MATCH(719,_Datos!$I:$I,0)),"")</f>
        <v/>
      </c>
      <c r="G726" s="63" t="str">
        <f>IFERROR(INDEX(_Datos!G:G,MATCH(719,_Datos!$I:$I,0)),"")</f>
        <v/>
      </c>
      <c r="H726" s="66" t="str">
        <f>IFERROR(INDEX(_Datos!H:H,MATCH(719,_Datos!$I:$I,0)),"")</f>
        <v/>
      </c>
    </row>
    <row r="727" spans="1:8" x14ac:dyDescent="0.2">
      <c r="A727" s="67" t="str">
        <f>IFERROR(INDEX(_Datos!A:A,MATCH(720,_Datos!$I:$I,0)),"")</f>
        <v/>
      </c>
      <c r="B727" s="67" t="str">
        <f>IFERROR(INDEX(_Datos!B:B,MATCH(720,_Datos!$I:$I,0)),"")</f>
        <v/>
      </c>
      <c r="C727" s="67" t="str">
        <f>IFERROR(INDEX(_Datos!C:C,MATCH(720,_Datos!$I:$I,0)),"")</f>
        <v/>
      </c>
      <c r="D727" s="68" t="str">
        <f>IFERROR(INDEX(_Datos!D:D,MATCH(720,_Datos!$I:$I,0)),"")</f>
        <v/>
      </c>
      <c r="E727" s="69" t="str">
        <f>IFERROR(INDEX(_Datos!E:E,MATCH(720,_Datos!$I:$I,0)),"")</f>
        <v/>
      </c>
      <c r="F727" s="67" t="str">
        <f>IFERROR(INDEX(_Datos!F:F,MATCH(720,_Datos!$I:$I,0)),"")</f>
        <v/>
      </c>
      <c r="G727" s="67" t="str">
        <f>IFERROR(INDEX(_Datos!G:G,MATCH(720,_Datos!$I:$I,0)),"")</f>
        <v/>
      </c>
      <c r="H727" s="70" t="str">
        <f>IFERROR(INDEX(_Datos!H:H,MATCH(720,_Datos!$I:$I,0)),"")</f>
        <v/>
      </c>
    </row>
    <row r="728" spans="1:8" x14ac:dyDescent="0.2">
      <c r="A728" s="63" t="str">
        <f>IFERROR(INDEX(_Datos!A:A,MATCH(721,_Datos!$I:$I,0)),"")</f>
        <v/>
      </c>
      <c r="B728" s="63" t="str">
        <f>IFERROR(INDEX(_Datos!B:B,MATCH(721,_Datos!$I:$I,0)),"")</f>
        <v/>
      </c>
      <c r="C728" s="63" t="str">
        <f>IFERROR(INDEX(_Datos!C:C,MATCH(721,_Datos!$I:$I,0)),"")</f>
        <v/>
      </c>
      <c r="D728" s="64" t="str">
        <f>IFERROR(INDEX(_Datos!D:D,MATCH(721,_Datos!$I:$I,0)),"")</f>
        <v/>
      </c>
      <c r="E728" s="65" t="str">
        <f>IFERROR(INDEX(_Datos!E:E,MATCH(721,_Datos!$I:$I,0)),"")</f>
        <v/>
      </c>
      <c r="F728" s="63" t="str">
        <f>IFERROR(INDEX(_Datos!F:F,MATCH(721,_Datos!$I:$I,0)),"")</f>
        <v/>
      </c>
      <c r="G728" s="63" t="str">
        <f>IFERROR(INDEX(_Datos!G:G,MATCH(721,_Datos!$I:$I,0)),"")</f>
        <v/>
      </c>
      <c r="H728" s="66" t="str">
        <f>IFERROR(INDEX(_Datos!H:H,MATCH(721,_Datos!$I:$I,0)),"")</f>
        <v/>
      </c>
    </row>
    <row r="729" spans="1:8" x14ac:dyDescent="0.2">
      <c r="A729" s="67" t="str">
        <f>IFERROR(INDEX(_Datos!A:A,MATCH(722,_Datos!$I:$I,0)),"")</f>
        <v/>
      </c>
      <c r="B729" s="67" t="str">
        <f>IFERROR(INDEX(_Datos!B:B,MATCH(722,_Datos!$I:$I,0)),"")</f>
        <v/>
      </c>
      <c r="C729" s="67" t="str">
        <f>IFERROR(INDEX(_Datos!C:C,MATCH(722,_Datos!$I:$I,0)),"")</f>
        <v/>
      </c>
      <c r="D729" s="68" t="str">
        <f>IFERROR(INDEX(_Datos!D:D,MATCH(722,_Datos!$I:$I,0)),"")</f>
        <v/>
      </c>
      <c r="E729" s="69" t="str">
        <f>IFERROR(INDEX(_Datos!E:E,MATCH(722,_Datos!$I:$I,0)),"")</f>
        <v/>
      </c>
      <c r="F729" s="67" t="str">
        <f>IFERROR(INDEX(_Datos!F:F,MATCH(722,_Datos!$I:$I,0)),"")</f>
        <v/>
      </c>
      <c r="G729" s="67" t="str">
        <f>IFERROR(INDEX(_Datos!G:G,MATCH(722,_Datos!$I:$I,0)),"")</f>
        <v/>
      </c>
      <c r="H729" s="70" t="str">
        <f>IFERROR(INDEX(_Datos!H:H,MATCH(722,_Datos!$I:$I,0)),"")</f>
        <v/>
      </c>
    </row>
    <row r="730" spans="1:8" x14ac:dyDescent="0.2">
      <c r="A730" s="63" t="str">
        <f>IFERROR(INDEX(_Datos!A:A,MATCH(723,_Datos!$I:$I,0)),"")</f>
        <v/>
      </c>
      <c r="B730" s="63" t="str">
        <f>IFERROR(INDEX(_Datos!B:B,MATCH(723,_Datos!$I:$I,0)),"")</f>
        <v/>
      </c>
      <c r="C730" s="63" t="str">
        <f>IFERROR(INDEX(_Datos!C:C,MATCH(723,_Datos!$I:$I,0)),"")</f>
        <v/>
      </c>
      <c r="D730" s="64" t="str">
        <f>IFERROR(INDEX(_Datos!D:D,MATCH(723,_Datos!$I:$I,0)),"")</f>
        <v/>
      </c>
      <c r="E730" s="65" t="str">
        <f>IFERROR(INDEX(_Datos!E:E,MATCH(723,_Datos!$I:$I,0)),"")</f>
        <v/>
      </c>
      <c r="F730" s="63" t="str">
        <f>IFERROR(INDEX(_Datos!F:F,MATCH(723,_Datos!$I:$I,0)),"")</f>
        <v/>
      </c>
      <c r="G730" s="63" t="str">
        <f>IFERROR(INDEX(_Datos!G:G,MATCH(723,_Datos!$I:$I,0)),"")</f>
        <v/>
      </c>
      <c r="H730" s="66" t="str">
        <f>IFERROR(INDEX(_Datos!H:H,MATCH(723,_Datos!$I:$I,0)),"")</f>
        <v/>
      </c>
    </row>
    <row r="731" spans="1:8" x14ac:dyDescent="0.2">
      <c r="A731" s="67" t="str">
        <f>IFERROR(INDEX(_Datos!A:A,MATCH(724,_Datos!$I:$I,0)),"")</f>
        <v/>
      </c>
      <c r="B731" s="67" t="str">
        <f>IFERROR(INDEX(_Datos!B:B,MATCH(724,_Datos!$I:$I,0)),"")</f>
        <v/>
      </c>
      <c r="C731" s="67" t="str">
        <f>IFERROR(INDEX(_Datos!C:C,MATCH(724,_Datos!$I:$I,0)),"")</f>
        <v/>
      </c>
      <c r="D731" s="68" t="str">
        <f>IFERROR(INDEX(_Datos!D:D,MATCH(724,_Datos!$I:$I,0)),"")</f>
        <v/>
      </c>
      <c r="E731" s="69" t="str">
        <f>IFERROR(INDEX(_Datos!E:E,MATCH(724,_Datos!$I:$I,0)),"")</f>
        <v/>
      </c>
      <c r="F731" s="67" t="str">
        <f>IFERROR(INDEX(_Datos!F:F,MATCH(724,_Datos!$I:$I,0)),"")</f>
        <v/>
      </c>
      <c r="G731" s="67" t="str">
        <f>IFERROR(INDEX(_Datos!G:G,MATCH(724,_Datos!$I:$I,0)),"")</f>
        <v/>
      </c>
      <c r="H731" s="70" t="str">
        <f>IFERROR(INDEX(_Datos!H:H,MATCH(724,_Datos!$I:$I,0)),"")</f>
        <v/>
      </c>
    </row>
    <row r="732" spans="1:8" x14ac:dyDescent="0.2">
      <c r="A732" s="63" t="str">
        <f>IFERROR(INDEX(_Datos!A:A,MATCH(725,_Datos!$I:$I,0)),"")</f>
        <v/>
      </c>
      <c r="B732" s="63" t="str">
        <f>IFERROR(INDEX(_Datos!B:B,MATCH(725,_Datos!$I:$I,0)),"")</f>
        <v/>
      </c>
      <c r="C732" s="63" t="str">
        <f>IFERROR(INDEX(_Datos!C:C,MATCH(725,_Datos!$I:$I,0)),"")</f>
        <v/>
      </c>
      <c r="D732" s="64" t="str">
        <f>IFERROR(INDEX(_Datos!D:D,MATCH(725,_Datos!$I:$I,0)),"")</f>
        <v/>
      </c>
      <c r="E732" s="65" t="str">
        <f>IFERROR(INDEX(_Datos!E:E,MATCH(725,_Datos!$I:$I,0)),"")</f>
        <v/>
      </c>
      <c r="F732" s="63" t="str">
        <f>IFERROR(INDEX(_Datos!F:F,MATCH(725,_Datos!$I:$I,0)),"")</f>
        <v/>
      </c>
      <c r="G732" s="63" t="str">
        <f>IFERROR(INDEX(_Datos!G:G,MATCH(725,_Datos!$I:$I,0)),"")</f>
        <v/>
      </c>
      <c r="H732" s="66" t="str">
        <f>IFERROR(INDEX(_Datos!H:H,MATCH(725,_Datos!$I:$I,0)),"")</f>
        <v/>
      </c>
    </row>
    <row r="733" spans="1:8" x14ac:dyDescent="0.2">
      <c r="A733" s="67" t="str">
        <f>IFERROR(INDEX(_Datos!A:A,MATCH(726,_Datos!$I:$I,0)),"")</f>
        <v/>
      </c>
      <c r="B733" s="67" t="str">
        <f>IFERROR(INDEX(_Datos!B:B,MATCH(726,_Datos!$I:$I,0)),"")</f>
        <v/>
      </c>
      <c r="C733" s="67" t="str">
        <f>IFERROR(INDEX(_Datos!C:C,MATCH(726,_Datos!$I:$I,0)),"")</f>
        <v/>
      </c>
      <c r="D733" s="68" t="str">
        <f>IFERROR(INDEX(_Datos!D:D,MATCH(726,_Datos!$I:$I,0)),"")</f>
        <v/>
      </c>
      <c r="E733" s="69" t="str">
        <f>IFERROR(INDEX(_Datos!E:E,MATCH(726,_Datos!$I:$I,0)),"")</f>
        <v/>
      </c>
      <c r="F733" s="67" t="str">
        <f>IFERROR(INDEX(_Datos!F:F,MATCH(726,_Datos!$I:$I,0)),"")</f>
        <v/>
      </c>
      <c r="G733" s="67" t="str">
        <f>IFERROR(INDEX(_Datos!G:G,MATCH(726,_Datos!$I:$I,0)),"")</f>
        <v/>
      </c>
      <c r="H733" s="70" t="str">
        <f>IFERROR(INDEX(_Datos!H:H,MATCH(726,_Datos!$I:$I,0)),"")</f>
        <v/>
      </c>
    </row>
    <row r="734" spans="1:8" x14ac:dyDescent="0.2">
      <c r="A734" s="63" t="str">
        <f>IFERROR(INDEX(_Datos!A:A,MATCH(727,_Datos!$I:$I,0)),"")</f>
        <v/>
      </c>
      <c r="B734" s="63" t="str">
        <f>IFERROR(INDEX(_Datos!B:B,MATCH(727,_Datos!$I:$I,0)),"")</f>
        <v/>
      </c>
      <c r="C734" s="63" t="str">
        <f>IFERROR(INDEX(_Datos!C:C,MATCH(727,_Datos!$I:$I,0)),"")</f>
        <v/>
      </c>
      <c r="D734" s="64" t="str">
        <f>IFERROR(INDEX(_Datos!D:D,MATCH(727,_Datos!$I:$I,0)),"")</f>
        <v/>
      </c>
      <c r="E734" s="65" t="str">
        <f>IFERROR(INDEX(_Datos!E:E,MATCH(727,_Datos!$I:$I,0)),"")</f>
        <v/>
      </c>
      <c r="F734" s="63" t="str">
        <f>IFERROR(INDEX(_Datos!F:F,MATCH(727,_Datos!$I:$I,0)),"")</f>
        <v/>
      </c>
      <c r="G734" s="63" t="str">
        <f>IFERROR(INDEX(_Datos!G:G,MATCH(727,_Datos!$I:$I,0)),"")</f>
        <v/>
      </c>
      <c r="H734" s="66" t="str">
        <f>IFERROR(INDEX(_Datos!H:H,MATCH(727,_Datos!$I:$I,0)),"")</f>
        <v/>
      </c>
    </row>
    <row r="735" spans="1:8" x14ac:dyDescent="0.2">
      <c r="A735" s="67" t="str">
        <f>IFERROR(INDEX(_Datos!A:A,MATCH(728,_Datos!$I:$I,0)),"")</f>
        <v/>
      </c>
      <c r="B735" s="67" t="str">
        <f>IFERROR(INDEX(_Datos!B:B,MATCH(728,_Datos!$I:$I,0)),"")</f>
        <v/>
      </c>
      <c r="C735" s="67" t="str">
        <f>IFERROR(INDEX(_Datos!C:C,MATCH(728,_Datos!$I:$I,0)),"")</f>
        <v/>
      </c>
      <c r="D735" s="68" t="str">
        <f>IFERROR(INDEX(_Datos!D:D,MATCH(728,_Datos!$I:$I,0)),"")</f>
        <v/>
      </c>
      <c r="E735" s="69" t="str">
        <f>IFERROR(INDEX(_Datos!E:E,MATCH(728,_Datos!$I:$I,0)),"")</f>
        <v/>
      </c>
      <c r="F735" s="67" t="str">
        <f>IFERROR(INDEX(_Datos!F:F,MATCH(728,_Datos!$I:$I,0)),"")</f>
        <v/>
      </c>
      <c r="G735" s="67" t="str">
        <f>IFERROR(INDEX(_Datos!G:G,MATCH(728,_Datos!$I:$I,0)),"")</f>
        <v/>
      </c>
      <c r="H735" s="70" t="str">
        <f>IFERROR(INDEX(_Datos!H:H,MATCH(728,_Datos!$I:$I,0)),"")</f>
        <v/>
      </c>
    </row>
    <row r="736" spans="1:8" x14ac:dyDescent="0.2">
      <c r="A736" s="63" t="str">
        <f>IFERROR(INDEX(_Datos!A:A,MATCH(729,_Datos!$I:$I,0)),"")</f>
        <v/>
      </c>
      <c r="B736" s="63" t="str">
        <f>IFERROR(INDEX(_Datos!B:B,MATCH(729,_Datos!$I:$I,0)),"")</f>
        <v/>
      </c>
      <c r="C736" s="63" t="str">
        <f>IFERROR(INDEX(_Datos!C:C,MATCH(729,_Datos!$I:$I,0)),"")</f>
        <v/>
      </c>
      <c r="D736" s="64" t="str">
        <f>IFERROR(INDEX(_Datos!D:D,MATCH(729,_Datos!$I:$I,0)),"")</f>
        <v/>
      </c>
      <c r="E736" s="65" t="str">
        <f>IFERROR(INDEX(_Datos!E:E,MATCH(729,_Datos!$I:$I,0)),"")</f>
        <v/>
      </c>
      <c r="F736" s="63" t="str">
        <f>IFERROR(INDEX(_Datos!F:F,MATCH(729,_Datos!$I:$I,0)),"")</f>
        <v/>
      </c>
      <c r="G736" s="63" t="str">
        <f>IFERROR(INDEX(_Datos!G:G,MATCH(729,_Datos!$I:$I,0)),"")</f>
        <v/>
      </c>
      <c r="H736" s="66" t="str">
        <f>IFERROR(INDEX(_Datos!H:H,MATCH(729,_Datos!$I:$I,0)),"")</f>
        <v/>
      </c>
    </row>
    <row r="737" spans="1:8" x14ac:dyDescent="0.2">
      <c r="A737" s="67" t="str">
        <f>IFERROR(INDEX(_Datos!A:A,MATCH(730,_Datos!$I:$I,0)),"")</f>
        <v/>
      </c>
      <c r="B737" s="67" t="str">
        <f>IFERROR(INDEX(_Datos!B:B,MATCH(730,_Datos!$I:$I,0)),"")</f>
        <v/>
      </c>
      <c r="C737" s="67" t="str">
        <f>IFERROR(INDEX(_Datos!C:C,MATCH(730,_Datos!$I:$I,0)),"")</f>
        <v/>
      </c>
      <c r="D737" s="68" t="str">
        <f>IFERROR(INDEX(_Datos!D:D,MATCH(730,_Datos!$I:$I,0)),"")</f>
        <v/>
      </c>
      <c r="E737" s="69" t="str">
        <f>IFERROR(INDEX(_Datos!E:E,MATCH(730,_Datos!$I:$I,0)),"")</f>
        <v/>
      </c>
      <c r="F737" s="67" t="str">
        <f>IFERROR(INDEX(_Datos!F:F,MATCH(730,_Datos!$I:$I,0)),"")</f>
        <v/>
      </c>
      <c r="G737" s="67" t="str">
        <f>IFERROR(INDEX(_Datos!G:G,MATCH(730,_Datos!$I:$I,0)),"")</f>
        <v/>
      </c>
      <c r="H737" s="70" t="str">
        <f>IFERROR(INDEX(_Datos!H:H,MATCH(730,_Datos!$I:$I,0)),"")</f>
        <v/>
      </c>
    </row>
    <row r="738" spans="1:8" x14ac:dyDescent="0.2">
      <c r="A738" s="63" t="str">
        <f>IFERROR(INDEX(_Datos!A:A,MATCH(731,_Datos!$I:$I,0)),"")</f>
        <v/>
      </c>
      <c r="B738" s="63" t="str">
        <f>IFERROR(INDEX(_Datos!B:B,MATCH(731,_Datos!$I:$I,0)),"")</f>
        <v/>
      </c>
      <c r="C738" s="63" t="str">
        <f>IFERROR(INDEX(_Datos!C:C,MATCH(731,_Datos!$I:$I,0)),"")</f>
        <v/>
      </c>
      <c r="D738" s="64" t="str">
        <f>IFERROR(INDEX(_Datos!D:D,MATCH(731,_Datos!$I:$I,0)),"")</f>
        <v/>
      </c>
      <c r="E738" s="65" t="str">
        <f>IFERROR(INDEX(_Datos!E:E,MATCH(731,_Datos!$I:$I,0)),"")</f>
        <v/>
      </c>
      <c r="F738" s="63" t="str">
        <f>IFERROR(INDEX(_Datos!F:F,MATCH(731,_Datos!$I:$I,0)),"")</f>
        <v/>
      </c>
      <c r="G738" s="63" t="str">
        <f>IFERROR(INDEX(_Datos!G:G,MATCH(731,_Datos!$I:$I,0)),"")</f>
        <v/>
      </c>
      <c r="H738" s="66" t="str">
        <f>IFERROR(INDEX(_Datos!H:H,MATCH(731,_Datos!$I:$I,0)),"")</f>
        <v/>
      </c>
    </row>
    <row r="739" spans="1:8" x14ac:dyDescent="0.2">
      <c r="A739" s="67" t="str">
        <f>IFERROR(INDEX(_Datos!A:A,MATCH(732,_Datos!$I:$I,0)),"")</f>
        <v/>
      </c>
      <c r="B739" s="67" t="str">
        <f>IFERROR(INDEX(_Datos!B:B,MATCH(732,_Datos!$I:$I,0)),"")</f>
        <v/>
      </c>
      <c r="C739" s="67" t="str">
        <f>IFERROR(INDEX(_Datos!C:C,MATCH(732,_Datos!$I:$I,0)),"")</f>
        <v/>
      </c>
      <c r="D739" s="68" t="str">
        <f>IFERROR(INDEX(_Datos!D:D,MATCH(732,_Datos!$I:$I,0)),"")</f>
        <v/>
      </c>
      <c r="E739" s="69" t="str">
        <f>IFERROR(INDEX(_Datos!E:E,MATCH(732,_Datos!$I:$I,0)),"")</f>
        <v/>
      </c>
      <c r="F739" s="67" t="str">
        <f>IFERROR(INDEX(_Datos!F:F,MATCH(732,_Datos!$I:$I,0)),"")</f>
        <v/>
      </c>
      <c r="G739" s="67" t="str">
        <f>IFERROR(INDEX(_Datos!G:G,MATCH(732,_Datos!$I:$I,0)),"")</f>
        <v/>
      </c>
      <c r="H739" s="70" t="str">
        <f>IFERROR(INDEX(_Datos!H:H,MATCH(732,_Datos!$I:$I,0)),"")</f>
        <v/>
      </c>
    </row>
    <row r="740" spans="1:8" x14ac:dyDescent="0.2">
      <c r="A740" s="63" t="str">
        <f>IFERROR(INDEX(_Datos!A:A,MATCH(733,_Datos!$I:$I,0)),"")</f>
        <v/>
      </c>
      <c r="B740" s="63" t="str">
        <f>IFERROR(INDEX(_Datos!B:B,MATCH(733,_Datos!$I:$I,0)),"")</f>
        <v/>
      </c>
      <c r="C740" s="63" t="str">
        <f>IFERROR(INDEX(_Datos!C:C,MATCH(733,_Datos!$I:$I,0)),"")</f>
        <v/>
      </c>
      <c r="D740" s="64" t="str">
        <f>IFERROR(INDEX(_Datos!D:D,MATCH(733,_Datos!$I:$I,0)),"")</f>
        <v/>
      </c>
      <c r="E740" s="65" t="str">
        <f>IFERROR(INDEX(_Datos!E:E,MATCH(733,_Datos!$I:$I,0)),"")</f>
        <v/>
      </c>
      <c r="F740" s="63" t="str">
        <f>IFERROR(INDEX(_Datos!F:F,MATCH(733,_Datos!$I:$I,0)),"")</f>
        <v/>
      </c>
      <c r="G740" s="63" t="str">
        <f>IFERROR(INDEX(_Datos!G:G,MATCH(733,_Datos!$I:$I,0)),"")</f>
        <v/>
      </c>
      <c r="H740" s="66" t="str">
        <f>IFERROR(INDEX(_Datos!H:H,MATCH(733,_Datos!$I:$I,0)),"")</f>
        <v/>
      </c>
    </row>
    <row r="741" spans="1:8" x14ac:dyDescent="0.2">
      <c r="A741" s="67" t="str">
        <f>IFERROR(INDEX(_Datos!A:A,MATCH(734,_Datos!$I:$I,0)),"")</f>
        <v/>
      </c>
      <c r="B741" s="67" t="str">
        <f>IFERROR(INDEX(_Datos!B:B,MATCH(734,_Datos!$I:$I,0)),"")</f>
        <v/>
      </c>
      <c r="C741" s="67" t="str">
        <f>IFERROR(INDEX(_Datos!C:C,MATCH(734,_Datos!$I:$I,0)),"")</f>
        <v/>
      </c>
      <c r="D741" s="68" t="str">
        <f>IFERROR(INDEX(_Datos!D:D,MATCH(734,_Datos!$I:$I,0)),"")</f>
        <v/>
      </c>
      <c r="E741" s="69" t="str">
        <f>IFERROR(INDEX(_Datos!E:E,MATCH(734,_Datos!$I:$I,0)),"")</f>
        <v/>
      </c>
      <c r="F741" s="67" t="str">
        <f>IFERROR(INDEX(_Datos!F:F,MATCH(734,_Datos!$I:$I,0)),"")</f>
        <v/>
      </c>
      <c r="G741" s="67" t="str">
        <f>IFERROR(INDEX(_Datos!G:G,MATCH(734,_Datos!$I:$I,0)),"")</f>
        <v/>
      </c>
      <c r="H741" s="70" t="str">
        <f>IFERROR(INDEX(_Datos!H:H,MATCH(734,_Datos!$I:$I,0)),"")</f>
        <v/>
      </c>
    </row>
    <row r="742" spans="1:8" x14ac:dyDescent="0.2">
      <c r="A742" s="63" t="str">
        <f>IFERROR(INDEX(_Datos!A:A,MATCH(735,_Datos!$I:$I,0)),"")</f>
        <v/>
      </c>
      <c r="B742" s="63" t="str">
        <f>IFERROR(INDEX(_Datos!B:B,MATCH(735,_Datos!$I:$I,0)),"")</f>
        <v/>
      </c>
      <c r="C742" s="63" t="str">
        <f>IFERROR(INDEX(_Datos!C:C,MATCH(735,_Datos!$I:$I,0)),"")</f>
        <v/>
      </c>
      <c r="D742" s="64" t="str">
        <f>IFERROR(INDEX(_Datos!D:D,MATCH(735,_Datos!$I:$I,0)),"")</f>
        <v/>
      </c>
      <c r="E742" s="65" t="str">
        <f>IFERROR(INDEX(_Datos!E:E,MATCH(735,_Datos!$I:$I,0)),"")</f>
        <v/>
      </c>
      <c r="F742" s="63" t="str">
        <f>IFERROR(INDEX(_Datos!F:F,MATCH(735,_Datos!$I:$I,0)),"")</f>
        <v/>
      </c>
      <c r="G742" s="63" t="str">
        <f>IFERROR(INDEX(_Datos!G:G,MATCH(735,_Datos!$I:$I,0)),"")</f>
        <v/>
      </c>
      <c r="H742" s="66" t="str">
        <f>IFERROR(INDEX(_Datos!H:H,MATCH(735,_Datos!$I:$I,0)),"")</f>
        <v/>
      </c>
    </row>
    <row r="743" spans="1:8" x14ac:dyDescent="0.2">
      <c r="A743" s="67" t="str">
        <f>IFERROR(INDEX(_Datos!A:A,MATCH(736,_Datos!$I:$I,0)),"")</f>
        <v/>
      </c>
      <c r="B743" s="67" t="str">
        <f>IFERROR(INDEX(_Datos!B:B,MATCH(736,_Datos!$I:$I,0)),"")</f>
        <v/>
      </c>
      <c r="C743" s="67" t="str">
        <f>IFERROR(INDEX(_Datos!C:C,MATCH(736,_Datos!$I:$I,0)),"")</f>
        <v/>
      </c>
      <c r="D743" s="68" t="str">
        <f>IFERROR(INDEX(_Datos!D:D,MATCH(736,_Datos!$I:$I,0)),"")</f>
        <v/>
      </c>
      <c r="E743" s="69" t="str">
        <f>IFERROR(INDEX(_Datos!E:E,MATCH(736,_Datos!$I:$I,0)),"")</f>
        <v/>
      </c>
      <c r="F743" s="67" t="str">
        <f>IFERROR(INDEX(_Datos!F:F,MATCH(736,_Datos!$I:$I,0)),"")</f>
        <v/>
      </c>
      <c r="G743" s="67" t="str">
        <f>IFERROR(INDEX(_Datos!G:G,MATCH(736,_Datos!$I:$I,0)),"")</f>
        <v/>
      </c>
      <c r="H743" s="70" t="str">
        <f>IFERROR(INDEX(_Datos!H:H,MATCH(736,_Datos!$I:$I,0)),"")</f>
        <v/>
      </c>
    </row>
    <row r="744" spans="1:8" x14ac:dyDescent="0.2">
      <c r="A744" s="63" t="str">
        <f>IFERROR(INDEX(_Datos!A:A,MATCH(737,_Datos!$I:$I,0)),"")</f>
        <v/>
      </c>
      <c r="B744" s="63" t="str">
        <f>IFERROR(INDEX(_Datos!B:B,MATCH(737,_Datos!$I:$I,0)),"")</f>
        <v/>
      </c>
      <c r="C744" s="63" t="str">
        <f>IFERROR(INDEX(_Datos!C:C,MATCH(737,_Datos!$I:$I,0)),"")</f>
        <v/>
      </c>
      <c r="D744" s="64" t="str">
        <f>IFERROR(INDEX(_Datos!D:D,MATCH(737,_Datos!$I:$I,0)),"")</f>
        <v/>
      </c>
      <c r="E744" s="65" t="str">
        <f>IFERROR(INDEX(_Datos!E:E,MATCH(737,_Datos!$I:$I,0)),"")</f>
        <v/>
      </c>
      <c r="F744" s="63" t="str">
        <f>IFERROR(INDEX(_Datos!F:F,MATCH(737,_Datos!$I:$I,0)),"")</f>
        <v/>
      </c>
      <c r="G744" s="63" t="str">
        <f>IFERROR(INDEX(_Datos!G:G,MATCH(737,_Datos!$I:$I,0)),"")</f>
        <v/>
      </c>
      <c r="H744" s="66" t="str">
        <f>IFERROR(INDEX(_Datos!H:H,MATCH(737,_Datos!$I:$I,0)),"")</f>
        <v/>
      </c>
    </row>
    <row r="745" spans="1:8" x14ac:dyDescent="0.2">
      <c r="A745" s="67" t="str">
        <f>IFERROR(INDEX(_Datos!A:A,MATCH(738,_Datos!$I:$I,0)),"")</f>
        <v/>
      </c>
      <c r="B745" s="67" t="str">
        <f>IFERROR(INDEX(_Datos!B:B,MATCH(738,_Datos!$I:$I,0)),"")</f>
        <v/>
      </c>
      <c r="C745" s="67" t="str">
        <f>IFERROR(INDEX(_Datos!C:C,MATCH(738,_Datos!$I:$I,0)),"")</f>
        <v/>
      </c>
      <c r="D745" s="68" t="str">
        <f>IFERROR(INDEX(_Datos!D:D,MATCH(738,_Datos!$I:$I,0)),"")</f>
        <v/>
      </c>
      <c r="E745" s="69" t="str">
        <f>IFERROR(INDEX(_Datos!E:E,MATCH(738,_Datos!$I:$I,0)),"")</f>
        <v/>
      </c>
      <c r="F745" s="67" t="str">
        <f>IFERROR(INDEX(_Datos!F:F,MATCH(738,_Datos!$I:$I,0)),"")</f>
        <v/>
      </c>
      <c r="G745" s="67" t="str">
        <f>IFERROR(INDEX(_Datos!G:G,MATCH(738,_Datos!$I:$I,0)),"")</f>
        <v/>
      </c>
      <c r="H745" s="70" t="str">
        <f>IFERROR(INDEX(_Datos!H:H,MATCH(738,_Datos!$I:$I,0)),"")</f>
        <v/>
      </c>
    </row>
    <row r="746" spans="1:8" x14ac:dyDescent="0.2">
      <c r="A746" s="63" t="str">
        <f>IFERROR(INDEX(_Datos!A:A,MATCH(739,_Datos!$I:$I,0)),"")</f>
        <v/>
      </c>
      <c r="B746" s="63" t="str">
        <f>IFERROR(INDEX(_Datos!B:B,MATCH(739,_Datos!$I:$I,0)),"")</f>
        <v/>
      </c>
      <c r="C746" s="63" t="str">
        <f>IFERROR(INDEX(_Datos!C:C,MATCH(739,_Datos!$I:$I,0)),"")</f>
        <v/>
      </c>
      <c r="D746" s="64" t="str">
        <f>IFERROR(INDEX(_Datos!D:D,MATCH(739,_Datos!$I:$I,0)),"")</f>
        <v/>
      </c>
      <c r="E746" s="65" t="str">
        <f>IFERROR(INDEX(_Datos!E:E,MATCH(739,_Datos!$I:$I,0)),"")</f>
        <v/>
      </c>
      <c r="F746" s="63" t="str">
        <f>IFERROR(INDEX(_Datos!F:F,MATCH(739,_Datos!$I:$I,0)),"")</f>
        <v/>
      </c>
      <c r="G746" s="63" t="str">
        <f>IFERROR(INDEX(_Datos!G:G,MATCH(739,_Datos!$I:$I,0)),"")</f>
        <v/>
      </c>
      <c r="H746" s="66" t="str">
        <f>IFERROR(INDEX(_Datos!H:H,MATCH(739,_Datos!$I:$I,0)),"")</f>
        <v/>
      </c>
    </row>
    <row r="747" spans="1:8" x14ac:dyDescent="0.2">
      <c r="A747" s="67" t="str">
        <f>IFERROR(INDEX(_Datos!A:A,MATCH(740,_Datos!$I:$I,0)),"")</f>
        <v/>
      </c>
      <c r="B747" s="67" t="str">
        <f>IFERROR(INDEX(_Datos!B:B,MATCH(740,_Datos!$I:$I,0)),"")</f>
        <v/>
      </c>
      <c r="C747" s="67" t="str">
        <f>IFERROR(INDEX(_Datos!C:C,MATCH(740,_Datos!$I:$I,0)),"")</f>
        <v/>
      </c>
      <c r="D747" s="68" t="str">
        <f>IFERROR(INDEX(_Datos!D:D,MATCH(740,_Datos!$I:$I,0)),"")</f>
        <v/>
      </c>
      <c r="E747" s="69" t="str">
        <f>IFERROR(INDEX(_Datos!E:E,MATCH(740,_Datos!$I:$I,0)),"")</f>
        <v/>
      </c>
      <c r="F747" s="67" t="str">
        <f>IFERROR(INDEX(_Datos!F:F,MATCH(740,_Datos!$I:$I,0)),"")</f>
        <v/>
      </c>
      <c r="G747" s="67" t="str">
        <f>IFERROR(INDEX(_Datos!G:G,MATCH(740,_Datos!$I:$I,0)),"")</f>
        <v/>
      </c>
      <c r="H747" s="70" t="str">
        <f>IFERROR(INDEX(_Datos!H:H,MATCH(740,_Datos!$I:$I,0)),"")</f>
        <v/>
      </c>
    </row>
    <row r="748" spans="1:8" x14ac:dyDescent="0.2">
      <c r="A748" s="63" t="str">
        <f>IFERROR(INDEX(_Datos!A:A,MATCH(741,_Datos!$I:$I,0)),"")</f>
        <v/>
      </c>
      <c r="B748" s="63" t="str">
        <f>IFERROR(INDEX(_Datos!B:B,MATCH(741,_Datos!$I:$I,0)),"")</f>
        <v/>
      </c>
      <c r="C748" s="63" t="str">
        <f>IFERROR(INDEX(_Datos!C:C,MATCH(741,_Datos!$I:$I,0)),"")</f>
        <v/>
      </c>
      <c r="D748" s="64" t="str">
        <f>IFERROR(INDEX(_Datos!D:D,MATCH(741,_Datos!$I:$I,0)),"")</f>
        <v/>
      </c>
      <c r="E748" s="65" t="str">
        <f>IFERROR(INDEX(_Datos!E:E,MATCH(741,_Datos!$I:$I,0)),"")</f>
        <v/>
      </c>
      <c r="F748" s="63" t="str">
        <f>IFERROR(INDEX(_Datos!F:F,MATCH(741,_Datos!$I:$I,0)),"")</f>
        <v/>
      </c>
      <c r="G748" s="63" t="str">
        <f>IFERROR(INDEX(_Datos!G:G,MATCH(741,_Datos!$I:$I,0)),"")</f>
        <v/>
      </c>
      <c r="H748" s="66" t="str">
        <f>IFERROR(INDEX(_Datos!H:H,MATCH(741,_Datos!$I:$I,0)),"")</f>
        <v/>
      </c>
    </row>
    <row r="749" spans="1:8" x14ac:dyDescent="0.2">
      <c r="A749" s="67" t="str">
        <f>IFERROR(INDEX(_Datos!A:A,MATCH(742,_Datos!$I:$I,0)),"")</f>
        <v/>
      </c>
      <c r="B749" s="67" t="str">
        <f>IFERROR(INDEX(_Datos!B:B,MATCH(742,_Datos!$I:$I,0)),"")</f>
        <v/>
      </c>
      <c r="C749" s="67" t="str">
        <f>IFERROR(INDEX(_Datos!C:C,MATCH(742,_Datos!$I:$I,0)),"")</f>
        <v/>
      </c>
      <c r="D749" s="68" t="str">
        <f>IFERROR(INDEX(_Datos!D:D,MATCH(742,_Datos!$I:$I,0)),"")</f>
        <v/>
      </c>
      <c r="E749" s="69" t="str">
        <f>IFERROR(INDEX(_Datos!E:E,MATCH(742,_Datos!$I:$I,0)),"")</f>
        <v/>
      </c>
      <c r="F749" s="67" t="str">
        <f>IFERROR(INDEX(_Datos!F:F,MATCH(742,_Datos!$I:$I,0)),"")</f>
        <v/>
      </c>
      <c r="G749" s="67" t="str">
        <f>IFERROR(INDEX(_Datos!G:G,MATCH(742,_Datos!$I:$I,0)),"")</f>
        <v/>
      </c>
      <c r="H749" s="70" t="str">
        <f>IFERROR(INDEX(_Datos!H:H,MATCH(742,_Datos!$I:$I,0)),"")</f>
        <v/>
      </c>
    </row>
    <row r="750" spans="1:8" x14ac:dyDescent="0.2">
      <c r="A750" s="63" t="str">
        <f>IFERROR(INDEX(_Datos!A:A,MATCH(743,_Datos!$I:$I,0)),"")</f>
        <v/>
      </c>
      <c r="B750" s="63" t="str">
        <f>IFERROR(INDEX(_Datos!B:B,MATCH(743,_Datos!$I:$I,0)),"")</f>
        <v/>
      </c>
      <c r="C750" s="63" t="str">
        <f>IFERROR(INDEX(_Datos!C:C,MATCH(743,_Datos!$I:$I,0)),"")</f>
        <v/>
      </c>
      <c r="D750" s="64" t="str">
        <f>IFERROR(INDEX(_Datos!D:D,MATCH(743,_Datos!$I:$I,0)),"")</f>
        <v/>
      </c>
      <c r="E750" s="65" t="str">
        <f>IFERROR(INDEX(_Datos!E:E,MATCH(743,_Datos!$I:$I,0)),"")</f>
        <v/>
      </c>
      <c r="F750" s="63" t="str">
        <f>IFERROR(INDEX(_Datos!F:F,MATCH(743,_Datos!$I:$I,0)),"")</f>
        <v/>
      </c>
      <c r="G750" s="63" t="str">
        <f>IFERROR(INDEX(_Datos!G:G,MATCH(743,_Datos!$I:$I,0)),"")</f>
        <v/>
      </c>
      <c r="H750" s="66" t="str">
        <f>IFERROR(INDEX(_Datos!H:H,MATCH(743,_Datos!$I:$I,0)),"")</f>
        <v/>
      </c>
    </row>
    <row r="751" spans="1:8" x14ac:dyDescent="0.2">
      <c r="A751" s="67" t="str">
        <f>IFERROR(INDEX(_Datos!A:A,MATCH(744,_Datos!$I:$I,0)),"")</f>
        <v/>
      </c>
      <c r="B751" s="67" t="str">
        <f>IFERROR(INDEX(_Datos!B:B,MATCH(744,_Datos!$I:$I,0)),"")</f>
        <v/>
      </c>
      <c r="C751" s="67" t="str">
        <f>IFERROR(INDEX(_Datos!C:C,MATCH(744,_Datos!$I:$I,0)),"")</f>
        <v/>
      </c>
      <c r="D751" s="68" t="str">
        <f>IFERROR(INDEX(_Datos!D:D,MATCH(744,_Datos!$I:$I,0)),"")</f>
        <v/>
      </c>
      <c r="E751" s="69" t="str">
        <f>IFERROR(INDEX(_Datos!E:E,MATCH(744,_Datos!$I:$I,0)),"")</f>
        <v/>
      </c>
      <c r="F751" s="67" t="str">
        <f>IFERROR(INDEX(_Datos!F:F,MATCH(744,_Datos!$I:$I,0)),"")</f>
        <v/>
      </c>
      <c r="G751" s="67" t="str">
        <f>IFERROR(INDEX(_Datos!G:G,MATCH(744,_Datos!$I:$I,0)),"")</f>
        <v/>
      </c>
      <c r="H751" s="70" t="str">
        <f>IFERROR(INDEX(_Datos!H:H,MATCH(744,_Datos!$I:$I,0)),"")</f>
        <v/>
      </c>
    </row>
    <row r="752" spans="1:8" x14ac:dyDescent="0.2">
      <c r="A752" s="63" t="str">
        <f>IFERROR(INDEX(_Datos!A:A,MATCH(745,_Datos!$I:$I,0)),"")</f>
        <v/>
      </c>
      <c r="B752" s="63" t="str">
        <f>IFERROR(INDEX(_Datos!B:B,MATCH(745,_Datos!$I:$I,0)),"")</f>
        <v/>
      </c>
      <c r="C752" s="63" t="str">
        <f>IFERROR(INDEX(_Datos!C:C,MATCH(745,_Datos!$I:$I,0)),"")</f>
        <v/>
      </c>
      <c r="D752" s="64" t="str">
        <f>IFERROR(INDEX(_Datos!D:D,MATCH(745,_Datos!$I:$I,0)),"")</f>
        <v/>
      </c>
      <c r="E752" s="65" t="str">
        <f>IFERROR(INDEX(_Datos!E:E,MATCH(745,_Datos!$I:$I,0)),"")</f>
        <v/>
      </c>
      <c r="F752" s="63" t="str">
        <f>IFERROR(INDEX(_Datos!F:F,MATCH(745,_Datos!$I:$I,0)),"")</f>
        <v/>
      </c>
      <c r="G752" s="63" t="str">
        <f>IFERROR(INDEX(_Datos!G:G,MATCH(745,_Datos!$I:$I,0)),"")</f>
        <v/>
      </c>
      <c r="H752" s="66" t="str">
        <f>IFERROR(INDEX(_Datos!H:H,MATCH(745,_Datos!$I:$I,0)),"")</f>
        <v/>
      </c>
    </row>
    <row r="753" spans="1:8" x14ac:dyDescent="0.2">
      <c r="A753" s="67" t="str">
        <f>IFERROR(INDEX(_Datos!A:A,MATCH(746,_Datos!$I:$I,0)),"")</f>
        <v/>
      </c>
      <c r="B753" s="67" t="str">
        <f>IFERROR(INDEX(_Datos!B:B,MATCH(746,_Datos!$I:$I,0)),"")</f>
        <v/>
      </c>
      <c r="C753" s="67" t="str">
        <f>IFERROR(INDEX(_Datos!C:C,MATCH(746,_Datos!$I:$I,0)),"")</f>
        <v/>
      </c>
      <c r="D753" s="68" t="str">
        <f>IFERROR(INDEX(_Datos!D:D,MATCH(746,_Datos!$I:$I,0)),"")</f>
        <v/>
      </c>
      <c r="E753" s="69" t="str">
        <f>IFERROR(INDEX(_Datos!E:E,MATCH(746,_Datos!$I:$I,0)),"")</f>
        <v/>
      </c>
      <c r="F753" s="67" t="str">
        <f>IFERROR(INDEX(_Datos!F:F,MATCH(746,_Datos!$I:$I,0)),"")</f>
        <v/>
      </c>
      <c r="G753" s="67" t="str">
        <f>IFERROR(INDEX(_Datos!G:G,MATCH(746,_Datos!$I:$I,0)),"")</f>
        <v/>
      </c>
      <c r="H753" s="70" t="str">
        <f>IFERROR(INDEX(_Datos!H:H,MATCH(746,_Datos!$I:$I,0)),"")</f>
        <v/>
      </c>
    </row>
    <row r="754" spans="1:8" x14ac:dyDescent="0.2">
      <c r="A754" s="63" t="str">
        <f>IFERROR(INDEX(_Datos!A:A,MATCH(747,_Datos!$I:$I,0)),"")</f>
        <v/>
      </c>
      <c r="B754" s="63" t="str">
        <f>IFERROR(INDEX(_Datos!B:B,MATCH(747,_Datos!$I:$I,0)),"")</f>
        <v/>
      </c>
      <c r="C754" s="63" t="str">
        <f>IFERROR(INDEX(_Datos!C:C,MATCH(747,_Datos!$I:$I,0)),"")</f>
        <v/>
      </c>
      <c r="D754" s="64" t="str">
        <f>IFERROR(INDEX(_Datos!D:D,MATCH(747,_Datos!$I:$I,0)),"")</f>
        <v/>
      </c>
      <c r="E754" s="65" t="str">
        <f>IFERROR(INDEX(_Datos!E:E,MATCH(747,_Datos!$I:$I,0)),"")</f>
        <v/>
      </c>
      <c r="F754" s="63" t="str">
        <f>IFERROR(INDEX(_Datos!F:F,MATCH(747,_Datos!$I:$I,0)),"")</f>
        <v/>
      </c>
      <c r="G754" s="63" t="str">
        <f>IFERROR(INDEX(_Datos!G:G,MATCH(747,_Datos!$I:$I,0)),"")</f>
        <v/>
      </c>
      <c r="H754" s="66" t="str">
        <f>IFERROR(INDEX(_Datos!H:H,MATCH(747,_Datos!$I:$I,0)),"")</f>
        <v/>
      </c>
    </row>
    <row r="755" spans="1:8" x14ac:dyDescent="0.2">
      <c r="A755" s="67" t="str">
        <f>IFERROR(INDEX(_Datos!A:A,MATCH(748,_Datos!$I:$I,0)),"")</f>
        <v/>
      </c>
      <c r="B755" s="67" t="str">
        <f>IFERROR(INDEX(_Datos!B:B,MATCH(748,_Datos!$I:$I,0)),"")</f>
        <v/>
      </c>
      <c r="C755" s="67" t="str">
        <f>IFERROR(INDEX(_Datos!C:C,MATCH(748,_Datos!$I:$I,0)),"")</f>
        <v/>
      </c>
      <c r="D755" s="68" t="str">
        <f>IFERROR(INDEX(_Datos!D:D,MATCH(748,_Datos!$I:$I,0)),"")</f>
        <v/>
      </c>
      <c r="E755" s="69" t="str">
        <f>IFERROR(INDEX(_Datos!E:E,MATCH(748,_Datos!$I:$I,0)),"")</f>
        <v/>
      </c>
      <c r="F755" s="67" t="str">
        <f>IFERROR(INDEX(_Datos!F:F,MATCH(748,_Datos!$I:$I,0)),"")</f>
        <v/>
      </c>
      <c r="G755" s="67" t="str">
        <f>IFERROR(INDEX(_Datos!G:G,MATCH(748,_Datos!$I:$I,0)),"")</f>
        <v/>
      </c>
      <c r="H755" s="70" t="str">
        <f>IFERROR(INDEX(_Datos!H:H,MATCH(748,_Datos!$I:$I,0)),"")</f>
        <v/>
      </c>
    </row>
    <row r="756" spans="1:8" x14ac:dyDescent="0.2">
      <c r="A756" s="63" t="str">
        <f>IFERROR(INDEX(_Datos!A:A,MATCH(749,_Datos!$I:$I,0)),"")</f>
        <v/>
      </c>
      <c r="B756" s="63" t="str">
        <f>IFERROR(INDEX(_Datos!B:B,MATCH(749,_Datos!$I:$I,0)),"")</f>
        <v/>
      </c>
      <c r="C756" s="63" t="str">
        <f>IFERROR(INDEX(_Datos!C:C,MATCH(749,_Datos!$I:$I,0)),"")</f>
        <v/>
      </c>
      <c r="D756" s="64" t="str">
        <f>IFERROR(INDEX(_Datos!D:D,MATCH(749,_Datos!$I:$I,0)),"")</f>
        <v/>
      </c>
      <c r="E756" s="65" t="str">
        <f>IFERROR(INDEX(_Datos!E:E,MATCH(749,_Datos!$I:$I,0)),"")</f>
        <v/>
      </c>
      <c r="F756" s="63" t="str">
        <f>IFERROR(INDEX(_Datos!F:F,MATCH(749,_Datos!$I:$I,0)),"")</f>
        <v/>
      </c>
      <c r="G756" s="63" t="str">
        <f>IFERROR(INDEX(_Datos!G:G,MATCH(749,_Datos!$I:$I,0)),"")</f>
        <v/>
      </c>
      <c r="H756" s="66" t="str">
        <f>IFERROR(INDEX(_Datos!H:H,MATCH(749,_Datos!$I:$I,0)),"")</f>
        <v/>
      </c>
    </row>
    <row r="757" spans="1:8" x14ac:dyDescent="0.2">
      <c r="A757" s="67" t="str">
        <f>IFERROR(INDEX(_Datos!A:A,MATCH(750,_Datos!$I:$I,0)),"")</f>
        <v/>
      </c>
      <c r="B757" s="67" t="str">
        <f>IFERROR(INDEX(_Datos!B:B,MATCH(750,_Datos!$I:$I,0)),"")</f>
        <v/>
      </c>
      <c r="C757" s="67" t="str">
        <f>IFERROR(INDEX(_Datos!C:C,MATCH(750,_Datos!$I:$I,0)),"")</f>
        <v/>
      </c>
      <c r="D757" s="68" t="str">
        <f>IFERROR(INDEX(_Datos!D:D,MATCH(750,_Datos!$I:$I,0)),"")</f>
        <v/>
      </c>
      <c r="E757" s="69" t="str">
        <f>IFERROR(INDEX(_Datos!E:E,MATCH(750,_Datos!$I:$I,0)),"")</f>
        <v/>
      </c>
      <c r="F757" s="67" t="str">
        <f>IFERROR(INDEX(_Datos!F:F,MATCH(750,_Datos!$I:$I,0)),"")</f>
        <v/>
      </c>
      <c r="G757" s="67" t="str">
        <f>IFERROR(INDEX(_Datos!G:G,MATCH(750,_Datos!$I:$I,0)),"")</f>
        <v/>
      </c>
      <c r="H757" s="70" t="str">
        <f>IFERROR(INDEX(_Datos!H:H,MATCH(750,_Datos!$I:$I,0)),"")</f>
        <v/>
      </c>
    </row>
    <row r="758" spans="1:8" x14ac:dyDescent="0.2">
      <c r="A758" s="63" t="str">
        <f>IFERROR(INDEX(_Datos!A:A,MATCH(751,_Datos!$I:$I,0)),"")</f>
        <v/>
      </c>
      <c r="B758" s="63" t="str">
        <f>IFERROR(INDEX(_Datos!B:B,MATCH(751,_Datos!$I:$I,0)),"")</f>
        <v/>
      </c>
      <c r="C758" s="63" t="str">
        <f>IFERROR(INDEX(_Datos!C:C,MATCH(751,_Datos!$I:$I,0)),"")</f>
        <v/>
      </c>
      <c r="D758" s="64" t="str">
        <f>IFERROR(INDEX(_Datos!D:D,MATCH(751,_Datos!$I:$I,0)),"")</f>
        <v/>
      </c>
      <c r="E758" s="65" t="str">
        <f>IFERROR(INDEX(_Datos!E:E,MATCH(751,_Datos!$I:$I,0)),"")</f>
        <v/>
      </c>
      <c r="F758" s="63" t="str">
        <f>IFERROR(INDEX(_Datos!F:F,MATCH(751,_Datos!$I:$I,0)),"")</f>
        <v/>
      </c>
      <c r="G758" s="63" t="str">
        <f>IFERROR(INDEX(_Datos!G:G,MATCH(751,_Datos!$I:$I,0)),"")</f>
        <v/>
      </c>
      <c r="H758" s="66" t="str">
        <f>IFERROR(INDEX(_Datos!H:H,MATCH(751,_Datos!$I:$I,0)),"")</f>
        <v/>
      </c>
    </row>
    <row r="759" spans="1:8" x14ac:dyDescent="0.2">
      <c r="A759" s="67" t="str">
        <f>IFERROR(INDEX(_Datos!A:A,MATCH(752,_Datos!$I:$I,0)),"")</f>
        <v/>
      </c>
      <c r="B759" s="67" t="str">
        <f>IFERROR(INDEX(_Datos!B:B,MATCH(752,_Datos!$I:$I,0)),"")</f>
        <v/>
      </c>
      <c r="C759" s="67" t="str">
        <f>IFERROR(INDEX(_Datos!C:C,MATCH(752,_Datos!$I:$I,0)),"")</f>
        <v/>
      </c>
      <c r="D759" s="68" t="str">
        <f>IFERROR(INDEX(_Datos!D:D,MATCH(752,_Datos!$I:$I,0)),"")</f>
        <v/>
      </c>
      <c r="E759" s="69" t="str">
        <f>IFERROR(INDEX(_Datos!E:E,MATCH(752,_Datos!$I:$I,0)),"")</f>
        <v/>
      </c>
      <c r="F759" s="67" t="str">
        <f>IFERROR(INDEX(_Datos!F:F,MATCH(752,_Datos!$I:$I,0)),"")</f>
        <v/>
      </c>
      <c r="G759" s="67" t="str">
        <f>IFERROR(INDEX(_Datos!G:G,MATCH(752,_Datos!$I:$I,0)),"")</f>
        <v/>
      </c>
      <c r="H759" s="70" t="str">
        <f>IFERROR(INDEX(_Datos!H:H,MATCH(752,_Datos!$I:$I,0)),"")</f>
        <v/>
      </c>
    </row>
    <row r="760" spans="1:8" x14ac:dyDescent="0.2">
      <c r="A760" s="63" t="str">
        <f>IFERROR(INDEX(_Datos!A:A,MATCH(753,_Datos!$I:$I,0)),"")</f>
        <v/>
      </c>
      <c r="B760" s="63" t="str">
        <f>IFERROR(INDEX(_Datos!B:B,MATCH(753,_Datos!$I:$I,0)),"")</f>
        <v/>
      </c>
      <c r="C760" s="63" t="str">
        <f>IFERROR(INDEX(_Datos!C:C,MATCH(753,_Datos!$I:$I,0)),"")</f>
        <v/>
      </c>
      <c r="D760" s="64" t="str">
        <f>IFERROR(INDEX(_Datos!D:D,MATCH(753,_Datos!$I:$I,0)),"")</f>
        <v/>
      </c>
      <c r="E760" s="65" t="str">
        <f>IFERROR(INDEX(_Datos!E:E,MATCH(753,_Datos!$I:$I,0)),"")</f>
        <v/>
      </c>
      <c r="F760" s="63" t="str">
        <f>IFERROR(INDEX(_Datos!F:F,MATCH(753,_Datos!$I:$I,0)),"")</f>
        <v/>
      </c>
      <c r="G760" s="63" t="str">
        <f>IFERROR(INDEX(_Datos!G:G,MATCH(753,_Datos!$I:$I,0)),"")</f>
        <v/>
      </c>
      <c r="H760" s="66" t="str">
        <f>IFERROR(INDEX(_Datos!H:H,MATCH(753,_Datos!$I:$I,0)),"")</f>
        <v/>
      </c>
    </row>
    <row r="761" spans="1:8" x14ac:dyDescent="0.2">
      <c r="A761" s="67" t="str">
        <f>IFERROR(INDEX(_Datos!A:A,MATCH(754,_Datos!$I:$I,0)),"")</f>
        <v/>
      </c>
      <c r="B761" s="67" t="str">
        <f>IFERROR(INDEX(_Datos!B:B,MATCH(754,_Datos!$I:$I,0)),"")</f>
        <v/>
      </c>
      <c r="C761" s="67" t="str">
        <f>IFERROR(INDEX(_Datos!C:C,MATCH(754,_Datos!$I:$I,0)),"")</f>
        <v/>
      </c>
      <c r="D761" s="68" t="str">
        <f>IFERROR(INDEX(_Datos!D:D,MATCH(754,_Datos!$I:$I,0)),"")</f>
        <v/>
      </c>
      <c r="E761" s="69" t="str">
        <f>IFERROR(INDEX(_Datos!E:E,MATCH(754,_Datos!$I:$I,0)),"")</f>
        <v/>
      </c>
      <c r="F761" s="67" t="str">
        <f>IFERROR(INDEX(_Datos!F:F,MATCH(754,_Datos!$I:$I,0)),"")</f>
        <v/>
      </c>
      <c r="G761" s="67" t="str">
        <f>IFERROR(INDEX(_Datos!G:G,MATCH(754,_Datos!$I:$I,0)),"")</f>
        <v/>
      </c>
      <c r="H761" s="70" t="str">
        <f>IFERROR(INDEX(_Datos!H:H,MATCH(754,_Datos!$I:$I,0)),"")</f>
        <v/>
      </c>
    </row>
    <row r="762" spans="1:8" x14ac:dyDescent="0.2">
      <c r="A762" s="63" t="str">
        <f>IFERROR(INDEX(_Datos!A:A,MATCH(755,_Datos!$I:$I,0)),"")</f>
        <v/>
      </c>
      <c r="B762" s="63" t="str">
        <f>IFERROR(INDEX(_Datos!B:B,MATCH(755,_Datos!$I:$I,0)),"")</f>
        <v/>
      </c>
      <c r="C762" s="63" t="str">
        <f>IFERROR(INDEX(_Datos!C:C,MATCH(755,_Datos!$I:$I,0)),"")</f>
        <v/>
      </c>
      <c r="D762" s="64" t="str">
        <f>IFERROR(INDEX(_Datos!D:D,MATCH(755,_Datos!$I:$I,0)),"")</f>
        <v/>
      </c>
      <c r="E762" s="65" t="str">
        <f>IFERROR(INDEX(_Datos!E:E,MATCH(755,_Datos!$I:$I,0)),"")</f>
        <v/>
      </c>
      <c r="F762" s="63" t="str">
        <f>IFERROR(INDEX(_Datos!F:F,MATCH(755,_Datos!$I:$I,0)),"")</f>
        <v/>
      </c>
      <c r="G762" s="63" t="str">
        <f>IFERROR(INDEX(_Datos!G:G,MATCH(755,_Datos!$I:$I,0)),"")</f>
        <v/>
      </c>
      <c r="H762" s="66" t="str">
        <f>IFERROR(INDEX(_Datos!H:H,MATCH(755,_Datos!$I:$I,0)),"")</f>
        <v/>
      </c>
    </row>
    <row r="763" spans="1:8" x14ac:dyDescent="0.2">
      <c r="A763" s="67" t="str">
        <f>IFERROR(INDEX(_Datos!A:A,MATCH(756,_Datos!$I:$I,0)),"")</f>
        <v/>
      </c>
      <c r="B763" s="67" t="str">
        <f>IFERROR(INDEX(_Datos!B:B,MATCH(756,_Datos!$I:$I,0)),"")</f>
        <v/>
      </c>
      <c r="C763" s="67" t="str">
        <f>IFERROR(INDEX(_Datos!C:C,MATCH(756,_Datos!$I:$I,0)),"")</f>
        <v/>
      </c>
      <c r="D763" s="68" t="str">
        <f>IFERROR(INDEX(_Datos!D:D,MATCH(756,_Datos!$I:$I,0)),"")</f>
        <v/>
      </c>
      <c r="E763" s="69" t="str">
        <f>IFERROR(INDEX(_Datos!E:E,MATCH(756,_Datos!$I:$I,0)),"")</f>
        <v/>
      </c>
      <c r="F763" s="67" t="str">
        <f>IFERROR(INDEX(_Datos!F:F,MATCH(756,_Datos!$I:$I,0)),"")</f>
        <v/>
      </c>
      <c r="G763" s="67" t="str">
        <f>IFERROR(INDEX(_Datos!G:G,MATCH(756,_Datos!$I:$I,0)),"")</f>
        <v/>
      </c>
      <c r="H763" s="70" t="str">
        <f>IFERROR(INDEX(_Datos!H:H,MATCH(756,_Datos!$I:$I,0)),"")</f>
        <v/>
      </c>
    </row>
    <row r="764" spans="1:8" x14ac:dyDescent="0.2">
      <c r="A764" s="63" t="str">
        <f>IFERROR(INDEX(_Datos!A:A,MATCH(757,_Datos!$I:$I,0)),"")</f>
        <v/>
      </c>
      <c r="B764" s="63" t="str">
        <f>IFERROR(INDEX(_Datos!B:B,MATCH(757,_Datos!$I:$I,0)),"")</f>
        <v/>
      </c>
      <c r="C764" s="63" t="str">
        <f>IFERROR(INDEX(_Datos!C:C,MATCH(757,_Datos!$I:$I,0)),"")</f>
        <v/>
      </c>
      <c r="D764" s="64" t="str">
        <f>IFERROR(INDEX(_Datos!D:D,MATCH(757,_Datos!$I:$I,0)),"")</f>
        <v/>
      </c>
      <c r="E764" s="65" t="str">
        <f>IFERROR(INDEX(_Datos!E:E,MATCH(757,_Datos!$I:$I,0)),"")</f>
        <v/>
      </c>
      <c r="F764" s="63" t="str">
        <f>IFERROR(INDEX(_Datos!F:F,MATCH(757,_Datos!$I:$I,0)),"")</f>
        <v/>
      </c>
      <c r="G764" s="63" t="str">
        <f>IFERROR(INDEX(_Datos!G:G,MATCH(757,_Datos!$I:$I,0)),"")</f>
        <v/>
      </c>
      <c r="H764" s="66" t="str">
        <f>IFERROR(INDEX(_Datos!H:H,MATCH(757,_Datos!$I:$I,0)),"")</f>
        <v/>
      </c>
    </row>
    <row r="765" spans="1:8" x14ac:dyDescent="0.2">
      <c r="A765" s="67" t="str">
        <f>IFERROR(INDEX(_Datos!A:A,MATCH(758,_Datos!$I:$I,0)),"")</f>
        <v/>
      </c>
      <c r="B765" s="67" t="str">
        <f>IFERROR(INDEX(_Datos!B:B,MATCH(758,_Datos!$I:$I,0)),"")</f>
        <v/>
      </c>
      <c r="C765" s="67" t="str">
        <f>IFERROR(INDEX(_Datos!C:C,MATCH(758,_Datos!$I:$I,0)),"")</f>
        <v/>
      </c>
      <c r="D765" s="68" t="str">
        <f>IFERROR(INDEX(_Datos!D:D,MATCH(758,_Datos!$I:$I,0)),"")</f>
        <v/>
      </c>
      <c r="E765" s="69" t="str">
        <f>IFERROR(INDEX(_Datos!E:E,MATCH(758,_Datos!$I:$I,0)),"")</f>
        <v/>
      </c>
      <c r="F765" s="67" t="str">
        <f>IFERROR(INDEX(_Datos!F:F,MATCH(758,_Datos!$I:$I,0)),"")</f>
        <v/>
      </c>
      <c r="G765" s="67" t="str">
        <f>IFERROR(INDEX(_Datos!G:G,MATCH(758,_Datos!$I:$I,0)),"")</f>
        <v/>
      </c>
      <c r="H765" s="70" t="str">
        <f>IFERROR(INDEX(_Datos!H:H,MATCH(758,_Datos!$I:$I,0)),"")</f>
        <v/>
      </c>
    </row>
    <row r="766" spans="1:8" x14ac:dyDescent="0.2">
      <c r="A766" s="63" t="str">
        <f>IFERROR(INDEX(_Datos!A:A,MATCH(759,_Datos!$I:$I,0)),"")</f>
        <v/>
      </c>
      <c r="B766" s="63" t="str">
        <f>IFERROR(INDEX(_Datos!B:B,MATCH(759,_Datos!$I:$I,0)),"")</f>
        <v/>
      </c>
      <c r="C766" s="63" t="str">
        <f>IFERROR(INDEX(_Datos!C:C,MATCH(759,_Datos!$I:$I,0)),"")</f>
        <v/>
      </c>
      <c r="D766" s="64" t="str">
        <f>IFERROR(INDEX(_Datos!D:D,MATCH(759,_Datos!$I:$I,0)),"")</f>
        <v/>
      </c>
      <c r="E766" s="65" t="str">
        <f>IFERROR(INDEX(_Datos!E:E,MATCH(759,_Datos!$I:$I,0)),"")</f>
        <v/>
      </c>
      <c r="F766" s="63" t="str">
        <f>IFERROR(INDEX(_Datos!F:F,MATCH(759,_Datos!$I:$I,0)),"")</f>
        <v/>
      </c>
      <c r="G766" s="63" t="str">
        <f>IFERROR(INDEX(_Datos!G:G,MATCH(759,_Datos!$I:$I,0)),"")</f>
        <v/>
      </c>
      <c r="H766" s="66" t="str">
        <f>IFERROR(INDEX(_Datos!H:H,MATCH(759,_Datos!$I:$I,0)),"")</f>
        <v/>
      </c>
    </row>
    <row r="767" spans="1:8" x14ac:dyDescent="0.2">
      <c r="A767" s="67" t="str">
        <f>IFERROR(INDEX(_Datos!A:A,MATCH(760,_Datos!$I:$I,0)),"")</f>
        <v/>
      </c>
      <c r="B767" s="67" t="str">
        <f>IFERROR(INDEX(_Datos!B:B,MATCH(760,_Datos!$I:$I,0)),"")</f>
        <v/>
      </c>
      <c r="C767" s="67" t="str">
        <f>IFERROR(INDEX(_Datos!C:C,MATCH(760,_Datos!$I:$I,0)),"")</f>
        <v/>
      </c>
      <c r="D767" s="68" t="str">
        <f>IFERROR(INDEX(_Datos!D:D,MATCH(760,_Datos!$I:$I,0)),"")</f>
        <v/>
      </c>
      <c r="E767" s="69" t="str">
        <f>IFERROR(INDEX(_Datos!E:E,MATCH(760,_Datos!$I:$I,0)),"")</f>
        <v/>
      </c>
      <c r="F767" s="67" t="str">
        <f>IFERROR(INDEX(_Datos!F:F,MATCH(760,_Datos!$I:$I,0)),"")</f>
        <v/>
      </c>
      <c r="G767" s="67" t="str">
        <f>IFERROR(INDEX(_Datos!G:G,MATCH(760,_Datos!$I:$I,0)),"")</f>
        <v/>
      </c>
      <c r="H767" s="70" t="str">
        <f>IFERROR(INDEX(_Datos!H:H,MATCH(760,_Datos!$I:$I,0)),"")</f>
        <v/>
      </c>
    </row>
    <row r="768" spans="1:8" x14ac:dyDescent="0.2">
      <c r="A768" s="63" t="str">
        <f>IFERROR(INDEX(_Datos!A:A,MATCH(761,_Datos!$I:$I,0)),"")</f>
        <v/>
      </c>
      <c r="B768" s="63" t="str">
        <f>IFERROR(INDEX(_Datos!B:B,MATCH(761,_Datos!$I:$I,0)),"")</f>
        <v/>
      </c>
      <c r="C768" s="63" t="str">
        <f>IFERROR(INDEX(_Datos!C:C,MATCH(761,_Datos!$I:$I,0)),"")</f>
        <v/>
      </c>
      <c r="D768" s="64" t="str">
        <f>IFERROR(INDEX(_Datos!D:D,MATCH(761,_Datos!$I:$I,0)),"")</f>
        <v/>
      </c>
      <c r="E768" s="65" t="str">
        <f>IFERROR(INDEX(_Datos!E:E,MATCH(761,_Datos!$I:$I,0)),"")</f>
        <v/>
      </c>
      <c r="F768" s="63" t="str">
        <f>IFERROR(INDEX(_Datos!F:F,MATCH(761,_Datos!$I:$I,0)),"")</f>
        <v/>
      </c>
      <c r="G768" s="63" t="str">
        <f>IFERROR(INDEX(_Datos!G:G,MATCH(761,_Datos!$I:$I,0)),"")</f>
        <v/>
      </c>
      <c r="H768" s="66" t="str">
        <f>IFERROR(INDEX(_Datos!H:H,MATCH(761,_Datos!$I:$I,0)),"")</f>
        <v/>
      </c>
    </row>
    <row r="769" spans="1:8" x14ac:dyDescent="0.2">
      <c r="A769" s="67" t="str">
        <f>IFERROR(INDEX(_Datos!A:A,MATCH(762,_Datos!$I:$I,0)),"")</f>
        <v/>
      </c>
      <c r="B769" s="67" t="str">
        <f>IFERROR(INDEX(_Datos!B:B,MATCH(762,_Datos!$I:$I,0)),"")</f>
        <v/>
      </c>
      <c r="C769" s="67" t="str">
        <f>IFERROR(INDEX(_Datos!C:C,MATCH(762,_Datos!$I:$I,0)),"")</f>
        <v/>
      </c>
      <c r="D769" s="68" t="str">
        <f>IFERROR(INDEX(_Datos!D:D,MATCH(762,_Datos!$I:$I,0)),"")</f>
        <v/>
      </c>
      <c r="E769" s="69" t="str">
        <f>IFERROR(INDEX(_Datos!E:E,MATCH(762,_Datos!$I:$I,0)),"")</f>
        <v/>
      </c>
      <c r="F769" s="67" t="str">
        <f>IFERROR(INDEX(_Datos!F:F,MATCH(762,_Datos!$I:$I,0)),"")</f>
        <v/>
      </c>
      <c r="G769" s="67" t="str">
        <f>IFERROR(INDEX(_Datos!G:G,MATCH(762,_Datos!$I:$I,0)),"")</f>
        <v/>
      </c>
      <c r="H769" s="70" t="str">
        <f>IFERROR(INDEX(_Datos!H:H,MATCH(762,_Datos!$I:$I,0)),"")</f>
        <v/>
      </c>
    </row>
    <row r="770" spans="1:8" x14ac:dyDescent="0.2">
      <c r="A770" s="63" t="str">
        <f>IFERROR(INDEX(_Datos!A:A,MATCH(763,_Datos!$I:$I,0)),"")</f>
        <v/>
      </c>
      <c r="B770" s="63" t="str">
        <f>IFERROR(INDEX(_Datos!B:B,MATCH(763,_Datos!$I:$I,0)),"")</f>
        <v/>
      </c>
      <c r="C770" s="63" t="str">
        <f>IFERROR(INDEX(_Datos!C:C,MATCH(763,_Datos!$I:$I,0)),"")</f>
        <v/>
      </c>
      <c r="D770" s="64" t="str">
        <f>IFERROR(INDEX(_Datos!D:D,MATCH(763,_Datos!$I:$I,0)),"")</f>
        <v/>
      </c>
      <c r="E770" s="65" t="str">
        <f>IFERROR(INDEX(_Datos!E:E,MATCH(763,_Datos!$I:$I,0)),"")</f>
        <v/>
      </c>
      <c r="F770" s="63" t="str">
        <f>IFERROR(INDEX(_Datos!F:F,MATCH(763,_Datos!$I:$I,0)),"")</f>
        <v/>
      </c>
      <c r="G770" s="63" t="str">
        <f>IFERROR(INDEX(_Datos!G:G,MATCH(763,_Datos!$I:$I,0)),"")</f>
        <v/>
      </c>
      <c r="H770" s="66" t="str">
        <f>IFERROR(INDEX(_Datos!H:H,MATCH(763,_Datos!$I:$I,0)),"")</f>
        <v/>
      </c>
    </row>
    <row r="771" spans="1:8" x14ac:dyDescent="0.2">
      <c r="A771" s="67" t="str">
        <f>IFERROR(INDEX(_Datos!A:A,MATCH(764,_Datos!$I:$I,0)),"")</f>
        <v/>
      </c>
      <c r="B771" s="67" t="str">
        <f>IFERROR(INDEX(_Datos!B:B,MATCH(764,_Datos!$I:$I,0)),"")</f>
        <v/>
      </c>
      <c r="C771" s="67" t="str">
        <f>IFERROR(INDEX(_Datos!C:C,MATCH(764,_Datos!$I:$I,0)),"")</f>
        <v/>
      </c>
      <c r="D771" s="68" t="str">
        <f>IFERROR(INDEX(_Datos!D:D,MATCH(764,_Datos!$I:$I,0)),"")</f>
        <v/>
      </c>
      <c r="E771" s="69" t="str">
        <f>IFERROR(INDEX(_Datos!E:E,MATCH(764,_Datos!$I:$I,0)),"")</f>
        <v/>
      </c>
      <c r="F771" s="67" t="str">
        <f>IFERROR(INDEX(_Datos!F:F,MATCH(764,_Datos!$I:$I,0)),"")</f>
        <v/>
      </c>
      <c r="G771" s="67" t="str">
        <f>IFERROR(INDEX(_Datos!G:G,MATCH(764,_Datos!$I:$I,0)),"")</f>
        <v/>
      </c>
      <c r="H771" s="70" t="str">
        <f>IFERROR(INDEX(_Datos!H:H,MATCH(764,_Datos!$I:$I,0)),"")</f>
        <v/>
      </c>
    </row>
    <row r="772" spans="1:8" x14ac:dyDescent="0.2">
      <c r="A772" s="63" t="str">
        <f>IFERROR(INDEX(_Datos!A:A,MATCH(765,_Datos!$I:$I,0)),"")</f>
        <v/>
      </c>
      <c r="B772" s="63" t="str">
        <f>IFERROR(INDEX(_Datos!B:B,MATCH(765,_Datos!$I:$I,0)),"")</f>
        <v/>
      </c>
      <c r="C772" s="63" t="str">
        <f>IFERROR(INDEX(_Datos!C:C,MATCH(765,_Datos!$I:$I,0)),"")</f>
        <v/>
      </c>
      <c r="D772" s="64" t="str">
        <f>IFERROR(INDEX(_Datos!D:D,MATCH(765,_Datos!$I:$I,0)),"")</f>
        <v/>
      </c>
      <c r="E772" s="65" t="str">
        <f>IFERROR(INDEX(_Datos!E:E,MATCH(765,_Datos!$I:$I,0)),"")</f>
        <v/>
      </c>
      <c r="F772" s="63" t="str">
        <f>IFERROR(INDEX(_Datos!F:F,MATCH(765,_Datos!$I:$I,0)),"")</f>
        <v/>
      </c>
      <c r="G772" s="63" t="str">
        <f>IFERROR(INDEX(_Datos!G:G,MATCH(765,_Datos!$I:$I,0)),"")</f>
        <v/>
      </c>
      <c r="H772" s="66" t="str">
        <f>IFERROR(INDEX(_Datos!H:H,MATCH(765,_Datos!$I:$I,0)),"")</f>
        <v/>
      </c>
    </row>
    <row r="773" spans="1:8" x14ac:dyDescent="0.2">
      <c r="A773" s="67" t="str">
        <f>IFERROR(INDEX(_Datos!A:A,MATCH(766,_Datos!$I:$I,0)),"")</f>
        <v/>
      </c>
      <c r="B773" s="67" t="str">
        <f>IFERROR(INDEX(_Datos!B:B,MATCH(766,_Datos!$I:$I,0)),"")</f>
        <v/>
      </c>
      <c r="C773" s="67" t="str">
        <f>IFERROR(INDEX(_Datos!C:C,MATCH(766,_Datos!$I:$I,0)),"")</f>
        <v/>
      </c>
      <c r="D773" s="68" t="str">
        <f>IFERROR(INDEX(_Datos!D:D,MATCH(766,_Datos!$I:$I,0)),"")</f>
        <v/>
      </c>
      <c r="E773" s="69" t="str">
        <f>IFERROR(INDEX(_Datos!E:E,MATCH(766,_Datos!$I:$I,0)),"")</f>
        <v/>
      </c>
      <c r="F773" s="67" t="str">
        <f>IFERROR(INDEX(_Datos!F:F,MATCH(766,_Datos!$I:$I,0)),"")</f>
        <v/>
      </c>
      <c r="G773" s="67" t="str">
        <f>IFERROR(INDEX(_Datos!G:G,MATCH(766,_Datos!$I:$I,0)),"")</f>
        <v/>
      </c>
      <c r="H773" s="70" t="str">
        <f>IFERROR(INDEX(_Datos!H:H,MATCH(766,_Datos!$I:$I,0)),"")</f>
        <v/>
      </c>
    </row>
    <row r="774" spans="1:8" x14ac:dyDescent="0.2">
      <c r="A774" s="63" t="str">
        <f>IFERROR(INDEX(_Datos!A:A,MATCH(767,_Datos!$I:$I,0)),"")</f>
        <v/>
      </c>
      <c r="B774" s="63" t="str">
        <f>IFERROR(INDEX(_Datos!B:B,MATCH(767,_Datos!$I:$I,0)),"")</f>
        <v/>
      </c>
      <c r="C774" s="63" t="str">
        <f>IFERROR(INDEX(_Datos!C:C,MATCH(767,_Datos!$I:$I,0)),"")</f>
        <v/>
      </c>
      <c r="D774" s="64" t="str">
        <f>IFERROR(INDEX(_Datos!D:D,MATCH(767,_Datos!$I:$I,0)),"")</f>
        <v/>
      </c>
      <c r="E774" s="65" t="str">
        <f>IFERROR(INDEX(_Datos!E:E,MATCH(767,_Datos!$I:$I,0)),"")</f>
        <v/>
      </c>
      <c r="F774" s="63" t="str">
        <f>IFERROR(INDEX(_Datos!F:F,MATCH(767,_Datos!$I:$I,0)),"")</f>
        <v/>
      </c>
      <c r="G774" s="63" t="str">
        <f>IFERROR(INDEX(_Datos!G:G,MATCH(767,_Datos!$I:$I,0)),"")</f>
        <v/>
      </c>
      <c r="H774" s="66" t="str">
        <f>IFERROR(INDEX(_Datos!H:H,MATCH(767,_Datos!$I:$I,0)),"")</f>
        <v/>
      </c>
    </row>
    <row r="775" spans="1:8" x14ac:dyDescent="0.2">
      <c r="A775" s="67" t="str">
        <f>IFERROR(INDEX(_Datos!A:A,MATCH(768,_Datos!$I:$I,0)),"")</f>
        <v/>
      </c>
      <c r="B775" s="67" t="str">
        <f>IFERROR(INDEX(_Datos!B:B,MATCH(768,_Datos!$I:$I,0)),"")</f>
        <v/>
      </c>
      <c r="C775" s="67" t="str">
        <f>IFERROR(INDEX(_Datos!C:C,MATCH(768,_Datos!$I:$I,0)),"")</f>
        <v/>
      </c>
      <c r="D775" s="68" t="str">
        <f>IFERROR(INDEX(_Datos!D:D,MATCH(768,_Datos!$I:$I,0)),"")</f>
        <v/>
      </c>
      <c r="E775" s="69" t="str">
        <f>IFERROR(INDEX(_Datos!E:E,MATCH(768,_Datos!$I:$I,0)),"")</f>
        <v/>
      </c>
      <c r="F775" s="67" t="str">
        <f>IFERROR(INDEX(_Datos!F:F,MATCH(768,_Datos!$I:$I,0)),"")</f>
        <v/>
      </c>
      <c r="G775" s="67" t="str">
        <f>IFERROR(INDEX(_Datos!G:G,MATCH(768,_Datos!$I:$I,0)),"")</f>
        <v/>
      </c>
      <c r="H775" s="70" t="str">
        <f>IFERROR(INDEX(_Datos!H:H,MATCH(768,_Datos!$I:$I,0)),"")</f>
        <v/>
      </c>
    </row>
    <row r="776" spans="1:8" x14ac:dyDescent="0.2">
      <c r="A776" s="63" t="str">
        <f>IFERROR(INDEX(_Datos!A:A,MATCH(769,_Datos!$I:$I,0)),"")</f>
        <v/>
      </c>
      <c r="B776" s="63" t="str">
        <f>IFERROR(INDEX(_Datos!B:B,MATCH(769,_Datos!$I:$I,0)),"")</f>
        <v/>
      </c>
      <c r="C776" s="63" t="str">
        <f>IFERROR(INDEX(_Datos!C:C,MATCH(769,_Datos!$I:$I,0)),"")</f>
        <v/>
      </c>
      <c r="D776" s="64" t="str">
        <f>IFERROR(INDEX(_Datos!D:D,MATCH(769,_Datos!$I:$I,0)),"")</f>
        <v/>
      </c>
      <c r="E776" s="65" t="str">
        <f>IFERROR(INDEX(_Datos!E:E,MATCH(769,_Datos!$I:$I,0)),"")</f>
        <v/>
      </c>
      <c r="F776" s="63" t="str">
        <f>IFERROR(INDEX(_Datos!F:F,MATCH(769,_Datos!$I:$I,0)),"")</f>
        <v/>
      </c>
      <c r="G776" s="63" t="str">
        <f>IFERROR(INDEX(_Datos!G:G,MATCH(769,_Datos!$I:$I,0)),"")</f>
        <v/>
      </c>
      <c r="H776" s="66" t="str">
        <f>IFERROR(INDEX(_Datos!H:H,MATCH(769,_Datos!$I:$I,0)),"")</f>
        <v/>
      </c>
    </row>
    <row r="777" spans="1:8" x14ac:dyDescent="0.2">
      <c r="A777" s="67" t="str">
        <f>IFERROR(INDEX(_Datos!A:A,MATCH(770,_Datos!$I:$I,0)),"")</f>
        <v/>
      </c>
      <c r="B777" s="67" t="str">
        <f>IFERROR(INDEX(_Datos!B:B,MATCH(770,_Datos!$I:$I,0)),"")</f>
        <v/>
      </c>
      <c r="C777" s="67" t="str">
        <f>IFERROR(INDEX(_Datos!C:C,MATCH(770,_Datos!$I:$I,0)),"")</f>
        <v/>
      </c>
      <c r="D777" s="68" t="str">
        <f>IFERROR(INDEX(_Datos!D:D,MATCH(770,_Datos!$I:$I,0)),"")</f>
        <v/>
      </c>
      <c r="E777" s="69" t="str">
        <f>IFERROR(INDEX(_Datos!E:E,MATCH(770,_Datos!$I:$I,0)),"")</f>
        <v/>
      </c>
      <c r="F777" s="67" t="str">
        <f>IFERROR(INDEX(_Datos!F:F,MATCH(770,_Datos!$I:$I,0)),"")</f>
        <v/>
      </c>
      <c r="G777" s="67" t="str">
        <f>IFERROR(INDEX(_Datos!G:G,MATCH(770,_Datos!$I:$I,0)),"")</f>
        <v/>
      </c>
      <c r="H777" s="70" t="str">
        <f>IFERROR(INDEX(_Datos!H:H,MATCH(770,_Datos!$I:$I,0)),"")</f>
        <v/>
      </c>
    </row>
    <row r="778" spans="1:8" x14ac:dyDescent="0.2">
      <c r="A778" s="63" t="str">
        <f>IFERROR(INDEX(_Datos!A:A,MATCH(771,_Datos!$I:$I,0)),"")</f>
        <v/>
      </c>
      <c r="B778" s="63" t="str">
        <f>IFERROR(INDEX(_Datos!B:B,MATCH(771,_Datos!$I:$I,0)),"")</f>
        <v/>
      </c>
      <c r="C778" s="63" t="str">
        <f>IFERROR(INDEX(_Datos!C:C,MATCH(771,_Datos!$I:$I,0)),"")</f>
        <v/>
      </c>
      <c r="D778" s="64" t="str">
        <f>IFERROR(INDEX(_Datos!D:D,MATCH(771,_Datos!$I:$I,0)),"")</f>
        <v/>
      </c>
      <c r="E778" s="65" t="str">
        <f>IFERROR(INDEX(_Datos!E:E,MATCH(771,_Datos!$I:$I,0)),"")</f>
        <v/>
      </c>
      <c r="F778" s="63" t="str">
        <f>IFERROR(INDEX(_Datos!F:F,MATCH(771,_Datos!$I:$I,0)),"")</f>
        <v/>
      </c>
      <c r="G778" s="63" t="str">
        <f>IFERROR(INDEX(_Datos!G:G,MATCH(771,_Datos!$I:$I,0)),"")</f>
        <v/>
      </c>
      <c r="H778" s="66" t="str">
        <f>IFERROR(INDEX(_Datos!H:H,MATCH(771,_Datos!$I:$I,0)),"")</f>
        <v/>
      </c>
    </row>
    <row r="779" spans="1:8" x14ac:dyDescent="0.2">
      <c r="A779" s="67" t="str">
        <f>IFERROR(INDEX(_Datos!A:A,MATCH(772,_Datos!$I:$I,0)),"")</f>
        <v/>
      </c>
      <c r="B779" s="67" t="str">
        <f>IFERROR(INDEX(_Datos!B:B,MATCH(772,_Datos!$I:$I,0)),"")</f>
        <v/>
      </c>
      <c r="C779" s="67" t="str">
        <f>IFERROR(INDEX(_Datos!C:C,MATCH(772,_Datos!$I:$I,0)),"")</f>
        <v/>
      </c>
      <c r="D779" s="68" t="str">
        <f>IFERROR(INDEX(_Datos!D:D,MATCH(772,_Datos!$I:$I,0)),"")</f>
        <v/>
      </c>
      <c r="E779" s="69" t="str">
        <f>IFERROR(INDEX(_Datos!E:E,MATCH(772,_Datos!$I:$I,0)),"")</f>
        <v/>
      </c>
      <c r="F779" s="67" t="str">
        <f>IFERROR(INDEX(_Datos!F:F,MATCH(772,_Datos!$I:$I,0)),"")</f>
        <v/>
      </c>
      <c r="G779" s="67" t="str">
        <f>IFERROR(INDEX(_Datos!G:G,MATCH(772,_Datos!$I:$I,0)),"")</f>
        <v/>
      </c>
      <c r="H779" s="70" t="str">
        <f>IFERROR(INDEX(_Datos!H:H,MATCH(772,_Datos!$I:$I,0)),"")</f>
        <v/>
      </c>
    </row>
    <row r="780" spans="1:8" x14ac:dyDescent="0.2">
      <c r="A780" s="63" t="str">
        <f>IFERROR(INDEX(_Datos!A:A,MATCH(773,_Datos!$I:$I,0)),"")</f>
        <v/>
      </c>
      <c r="B780" s="63" t="str">
        <f>IFERROR(INDEX(_Datos!B:B,MATCH(773,_Datos!$I:$I,0)),"")</f>
        <v/>
      </c>
      <c r="C780" s="63" t="str">
        <f>IFERROR(INDEX(_Datos!C:C,MATCH(773,_Datos!$I:$I,0)),"")</f>
        <v/>
      </c>
      <c r="D780" s="64" t="str">
        <f>IFERROR(INDEX(_Datos!D:D,MATCH(773,_Datos!$I:$I,0)),"")</f>
        <v/>
      </c>
      <c r="E780" s="65" t="str">
        <f>IFERROR(INDEX(_Datos!E:E,MATCH(773,_Datos!$I:$I,0)),"")</f>
        <v/>
      </c>
      <c r="F780" s="63" t="str">
        <f>IFERROR(INDEX(_Datos!F:F,MATCH(773,_Datos!$I:$I,0)),"")</f>
        <v/>
      </c>
      <c r="G780" s="63" t="str">
        <f>IFERROR(INDEX(_Datos!G:G,MATCH(773,_Datos!$I:$I,0)),"")</f>
        <v/>
      </c>
      <c r="H780" s="66" t="str">
        <f>IFERROR(INDEX(_Datos!H:H,MATCH(773,_Datos!$I:$I,0)),"")</f>
        <v/>
      </c>
    </row>
    <row r="781" spans="1:8" x14ac:dyDescent="0.2">
      <c r="A781" s="67" t="str">
        <f>IFERROR(INDEX(_Datos!A:A,MATCH(774,_Datos!$I:$I,0)),"")</f>
        <v/>
      </c>
      <c r="B781" s="67" t="str">
        <f>IFERROR(INDEX(_Datos!B:B,MATCH(774,_Datos!$I:$I,0)),"")</f>
        <v/>
      </c>
      <c r="C781" s="67" t="str">
        <f>IFERROR(INDEX(_Datos!C:C,MATCH(774,_Datos!$I:$I,0)),"")</f>
        <v/>
      </c>
      <c r="D781" s="68" t="str">
        <f>IFERROR(INDEX(_Datos!D:D,MATCH(774,_Datos!$I:$I,0)),"")</f>
        <v/>
      </c>
      <c r="E781" s="69" t="str">
        <f>IFERROR(INDEX(_Datos!E:E,MATCH(774,_Datos!$I:$I,0)),"")</f>
        <v/>
      </c>
      <c r="F781" s="67" t="str">
        <f>IFERROR(INDEX(_Datos!F:F,MATCH(774,_Datos!$I:$I,0)),"")</f>
        <v/>
      </c>
      <c r="G781" s="67" t="str">
        <f>IFERROR(INDEX(_Datos!G:G,MATCH(774,_Datos!$I:$I,0)),"")</f>
        <v/>
      </c>
      <c r="H781" s="70" t="str">
        <f>IFERROR(INDEX(_Datos!H:H,MATCH(774,_Datos!$I:$I,0)),"")</f>
        <v/>
      </c>
    </row>
    <row r="782" spans="1:8" x14ac:dyDescent="0.2">
      <c r="A782" s="63" t="str">
        <f>IFERROR(INDEX(_Datos!A:A,MATCH(775,_Datos!$I:$I,0)),"")</f>
        <v/>
      </c>
      <c r="B782" s="63" t="str">
        <f>IFERROR(INDEX(_Datos!B:B,MATCH(775,_Datos!$I:$I,0)),"")</f>
        <v/>
      </c>
      <c r="C782" s="63" t="str">
        <f>IFERROR(INDEX(_Datos!C:C,MATCH(775,_Datos!$I:$I,0)),"")</f>
        <v/>
      </c>
      <c r="D782" s="64" t="str">
        <f>IFERROR(INDEX(_Datos!D:D,MATCH(775,_Datos!$I:$I,0)),"")</f>
        <v/>
      </c>
      <c r="E782" s="65" t="str">
        <f>IFERROR(INDEX(_Datos!E:E,MATCH(775,_Datos!$I:$I,0)),"")</f>
        <v/>
      </c>
      <c r="F782" s="63" t="str">
        <f>IFERROR(INDEX(_Datos!F:F,MATCH(775,_Datos!$I:$I,0)),"")</f>
        <v/>
      </c>
      <c r="G782" s="63" t="str">
        <f>IFERROR(INDEX(_Datos!G:G,MATCH(775,_Datos!$I:$I,0)),"")</f>
        <v/>
      </c>
      <c r="H782" s="66" t="str">
        <f>IFERROR(INDEX(_Datos!H:H,MATCH(775,_Datos!$I:$I,0)),"")</f>
        <v/>
      </c>
    </row>
    <row r="783" spans="1:8" x14ac:dyDescent="0.2">
      <c r="A783" s="67" t="str">
        <f>IFERROR(INDEX(_Datos!A:A,MATCH(776,_Datos!$I:$I,0)),"")</f>
        <v/>
      </c>
      <c r="B783" s="67" t="str">
        <f>IFERROR(INDEX(_Datos!B:B,MATCH(776,_Datos!$I:$I,0)),"")</f>
        <v/>
      </c>
      <c r="C783" s="67" t="str">
        <f>IFERROR(INDEX(_Datos!C:C,MATCH(776,_Datos!$I:$I,0)),"")</f>
        <v/>
      </c>
      <c r="D783" s="68" t="str">
        <f>IFERROR(INDEX(_Datos!D:D,MATCH(776,_Datos!$I:$I,0)),"")</f>
        <v/>
      </c>
      <c r="E783" s="69" t="str">
        <f>IFERROR(INDEX(_Datos!E:E,MATCH(776,_Datos!$I:$I,0)),"")</f>
        <v/>
      </c>
      <c r="F783" s="67" t="str">
        <f>IFERROR(INDEX(_Datos!F:F,MATCH(776,_Datos!$I:$I,0)),"")</f>
        <v/>
      </c>
      <c r="G783" s="67" t="str">
        <f>IFERROR(INDEX(_Datos!G:G,MATCH(776,_Datos!$I:$I,0)),"")</f>
        <v/>
      </c>
      <c r="H783" s="70" t="str">
        <f>IFERROR(INDEX(_Datos!H:H,MATCH(776,_Datos!$I:$I,0)),"")</f>
        <v/>
      </c>
    </row>
    <row r="784" spans="1:8" x14ac:dyDescent="0.2">
      <c r="A784" s="63" t="str">
        <f>IFERROR(INDEX(_Datos!A:A,MATCH(777,_Datos!$I:$I,0)),"")</f>
        <v/>
      </c>
      <c r="B784" s="63" t="str">
        <f>IFERROR(INDEX(_Datos!B:B,MATCH(777,_Datos!$I:$I,0)),"")</f>
        <v/>
      </c>
      <c r="C784" s="63" t="str">
        <f>IFERROR(INDEX(_Datos!C:C,MATCH(777,_Datos!$I:$I,0)),"")</f>
        <v/>
      </c>
      <c r="D784" s="64" t="str">
        <f>IFERROR(INDEX(_Datos!D:D,MATCH(777,_Datos!$I:$I,0)),"")</f>
        <v/>
      </c>
      <c r="E784" s="65" t="str">
        <f>IFERROR(INDEX(_Datos!E:E,MATCH(777,_Datos!$I:$I,0)),"")</f>
        <v/>
      </c>
      <c r="F784" s="63" t="str">
        <f>IFERROR(INDEX(_Datos!F:F,MATCH(777,_Datos!$I:$I,0)),"")</f>
        <v/>
      </c>
      <c r="G784" s="63" t="str">
        <f>IFERROR(INDEX(_Datos!G:G,MATCH(777,_Datos!$I:$I,0)),"")</f>
        <v/>
      </c>
      <c r="H784" s="66" t="str">
        <f>IFERROR(INDEX(_Datos!H:H,MATCH(777,_Datos!$I:$I,0)),"")</f>
        <v/>
      </c>
    </row>
    <row r="785" spans="1:8" x14ac:dyDescent="0.2">
      <c r="A785" s="67" t="str">
        <f>IFERROR(INDEX(_Datos!A:A,MATCH(778,_Datos!$I:$I,0)),"")</f>
        <v/>
      </c>
      <c r="B785" s="67" t="str">
        <f>IFERROR(INDEX(_Datos!B:B,MATCH(778,_Datos!$I:$I,0)),"")</f>
        <v/>
      </c>
      <c r="C785" s="67" t="str">
        <f>IFERROR(INDEX(_Datos!C:C,MATCH(778,_Datos!$I:$I,0)),"")</f>
        <v/>
      </c>
      <c r="D785" s="68" t="str">
        <f>IFERROR(INDEX(_Datos!D:D,MATCH(778,_Datos!$I:$I,0)),"")</f>
        <v/>
      </c>
      <c r="E785" s="69" t="str">
        <f>IFERROR(INDEX(_Datos!E:E,MATCH(778,_Datos!$I:$I,0)),"")</f>
        <v/>
      </c>
      <c r="F785" s="67" t="str">
        <f>IFERROR(INDEX(_Datos!F:F,MATCH(778,_Datos!$I:$I,0)),"")</f>
        <v/>
      </c>
      <c r="G785" s="67" t="str">
        <f>IFERROR(INDEX(_Datos!G:G,MATCH(778,_Datos!$I:$I,0)),"")</f>
        <v/>
      </c>
      <c r="H785" s="70" t="str">
        <f>IFERROR(INDEX(_Datos!H:H,MATCH(778,_Datos!$I:$I,0)),"")</f>
        <v/>
      </c>
    </row>
    <row r="786" spans="1:8" x14ac:dyDescent="0.2">
      <c r="A786" s="63" t="str">
        <f>IFERROR(INDEX(_Datos!A:A,MATCH(779,_Datos!$I:$I,0)),"")</f>
        <v/>
      </c>
      <c r="B786" s="63" t="str">
        <f>IFERROR(INDEX(_Datos!B:B,MATCH(779,_Datos!$I:$I,0)),"")</f>
        <v/>
      </c>
      <c r="C786" s="63" t="str">
        <f>IFERROR(INDEX(_Datos!C:C,MATCH(779,_Datos!$I:$I,0)),"")</f>
        <v/>
      </c>
      <c r="D786" s="64" t="str">
        <f>IFERROR(INDEX(_Datos!D:D,MATCH(779,_Datos!$I:$I,0)),"")</f>
        <v/>
      </c>
      <c r="E786" s="65" t="str">
        <f>IFERROR(INDEX(_Datos!E:E,MATCH(779,_Datos!$I:$I,0)),"")</f>
        <v/>
      </c>
      <c r="F786" s="63" t="str">
        <f>IFERROR(INDEX(_Datos!F:F,MATCH(779,_Datos!$I:$I,0)),"")</f>
        <v/>
      </c>
      <c r="G786" s="63" t="str">
        <f>IFERROR(INDEX(_Datos!G:G,MATCH(779,_Datos!$I:$I,0)),"")</f>
        <v/>
      </c>
      <c r="H786" s="66" t="str">
        <f>IFERROR(INDEX(_Datos!H:H,MATCH(779,_Datos!$I:$I,0)),"")</f>
        <v/>
      </c>
    </row>
    <row r="787" spans="1:8" x14ac:dyDescent="0.2">
      <c r="A787" s="67" t="str">
        <f>IFERROR(INDEX(_Datos!A:A,MATCH(780,_Datos!$I:$I,0)),"")</f>
        <v/>
      </c>
      <c r="B787" s="67" t="str">
        <f>IFERROR(INDEX(_Datos!B:B,MATCH(780,_Datos!$I:$I,0)),"")</f>
        <v/>
      </c>
      <c r="C787" s="67" t="str">
        <f>IFERROR(INDEX(_Datos!C:C,MATCH(780,_Datos!$I:$I,0)),"")</f>
        <v/>
      </c>
      <c r="D787" s="68" t="str">
        <f>IFERROR(INDEX(_Datos!D:D,MATCH(780,_Datos!$I:$I,0)),"")</f>
        <v/>
      </c>
      <c r="E787" s="69" t="str">
        <f>IFERROR(INDEX(_Datos!E:E,MATCH(780,_Datos!$I:$I,0)),"")</f>
        <v/>
      </c>
      <c r="F787" s="67" t="str">
        <f>IFERROR(INDEX(_Datos!F:F,MATCH(780,_Datos!$I:$I,0)),"")</f>
        <v/>
      </c>
      <c r="G787" s="67" t="str">
        <f>IFERROR(INDEX(_Datos!G:G,MATCH(780,_Datos!$I:$I,0)),"")</f>
        <v/>
      </c>
      <c r="H787" s="70" t="str">
        <f>IFERROR(INDEX(_Datos!H:H,MATCH(780,_Datos!$I:$I,0)),"")</f>
        <v/>
      </c>
    </row>
    <row r="788" spans="1:8" x14ac:dyDescent="0.2">
      <c r="A788" s="63" t="str">
        <f>IFERROR(INDEX(_Datos!A:A,MATCH(781,_Datos!$I:$I,0)),"")</f>
        <v/>
      </c>
      <c r="B788" s="63" t="str">
        <f>IFERROR(INDEX(_Datos!B:B,MATCH(781,_Datos!$I:$I,0)),"")</f>
        <v/>
      </c>
      <c r="C788" s="63" t="str">
        <f>IFERROR(INDEX(_Datos!C:C,MATCH(781,_Datos!$I:$I,0)),"")</f>
        <v/>
      </c>
      <c r="D788" s="64" t="str">
        <f>IFERROR(INDEX(_Datos!D:D,MATCH(781,_Datos!$I:$I,0)),"")</f>
        <v/>
      </c>
      <c r="E788" s="65" t="str">
        <f>IFERROR(INDEX(_Datos!E:E,MATCH(781,_Datos!$I:$I,0)),"")</f>
        <v/>
      </c>
      <c r="F788" s="63" t="str">
        <f>IFERROR(INDEX(_Datos!F:F,MATCH(781,_Datos!$I:$I,0)),"")</f>
        <v/>
      </c>
      <c r="G788" s="63" t="str">
        <f>IFERROR(INDEX(_Datos!G:G,MATCH(781,_Datos!$I:$I,0)),"")</f>
        <v/>
      </c>
      <c r="H788" s="66" t="str">
        <f>IFERROR(INDEX(_Datos!H:H,MATCH(781,_Datos!$I:$I,0)),"")</f>
        <v/>
      </c>
    </row>
    <row r="789" spans="1:8" x14ac:dyDescent="0.2">
      <c r="A789" s="67" t="str">
        <f>IFERROR(INDEX(_Datos!A:A,MATCH(782,_Datos!$I:$I,0)),"")</f>
        <v/>
      </c>
      <c r="B789" s="67" t="str">
        <f>IFERROR(INDEX(_Datos!B:B,MATCH(782,_Datos!$I:$I,0)),"")</f>
        <v/>
      </c>
      <c r="C789" s="67" t="str">
        <f>IFERROR(INDEX(_Datos!C:C,MATCH(782,_Datos!$I:$I,0)),"")</f>
        <v/>
      </c>
      <c r="D789" s="68" t="str">
        <f>IFERROR(INDEX(_Datos!D:D,MATCH(782,_Datos!$I:$I,0)),"")</f>
        <v/>
      </c>
      <c r="E789" s="69" t="str">
        <f>IFERROR(INDEX(_Datos!E:E,MATCH(782,_Datos!$I:$I,0)),"")</f>
        <v/>
      </c>
      <c r="F789" s="67" t="str">
        <f>IFERROR(INDEX(_Datos!F:F,MATCH(782,_Datos!$I:$I,0)),"")</f>
        <v/>
      </c>
      <c r="G789" s="67" t="str">
        <f>IFERROR(INDEX(_Datos!G:G,MATCH(782,_Datos!$I:$I,0)),"")</f>
        <v/>
      </c>
      <c r="H789" s="70" t="str">
        <f>IFERROR(INDEX(_Datos!H:H,MATCH(782,_Datos!$I:$I,0)),"")</f>
        <v/>
      </c>
    </row>
    <row r="790" spans="1:8" x14ac:dyDescent="0.2">
      <c r="A790" s="63" t="str">
        <f>IFERROR(INDEX(_Datos!A:A,MATCH(783,_Datos!$I:$I,0)),"")</f>
        <v/>
      </c>
      <c r="B790" s="63" t="str">
        <f>IFERROR(INDEX(_Datos!B:B,MATCH(783,_Datos!$I:$I,0)),"")</f>
        <v/>
      </c>
      <c r="C790" s="63" t="str">
        <f>IFERROR(INDEX(_Datos!C:C,MATCH(783,_Datos!$I:$I,0)),"")</f>
        <v/>
      </c>
      <c r="D790" s="64" t="str">
        <f>IFERROR(INDEX(_Datos!D:D,MATCH(783,_Datos!$I:$I,0)),"")</f>
        <v/>
      </c>
      <c r="E790" s="65" t="str">
        <f>IFERROR(INDEX(_Datos!E:E,MATCH(783,_Datos!$I:$I,0)),"")</f>
        <v/>
      </c>
      <c r="F790" s="63" t="str">
        <f>IFERROR(INDEX(_Datos!F:F,MATCH(783,_Datos!$I:$I,0)),"")</f>
        <v/>
      </c>
      <c r="G790" s="63" t="str">
        <f>IFERROR(INDEX(_Datos!G:G,MATCH(783,_Datos!$I:$I,0)),"")</f>
        <v/>
      </c>
      <c r="H790" s="66" t="str">
        <f>IFERROR(INDEX(_Datos!H:H,MATCH(783,_Datos!$I:$I,0)),"")</f>
        <v/>
      </c>
    </row>
    <row r="791" spans="1:8" x14ac:dyDescent="0.2">
      <c r="A791" s="67" t="str">
        <f>IFERROR(INDEX(_Datos!A:A,MATCH(784,_Datos!$I:$I,0)),"")</f>
        <v/>
      </c>
      <c r="B791" s="67" t="str">
        <f>IFERROR(INDEX(_Datos!B:B,MATCH(784,_Datos!$I:$I,0)),"")</f>
        <v/>
      </c>
      <c r="C791" s="67" t="str">
        <f>IFERROR(INDEX(_Datos!C:C,MATCH(784,_Datos!$I:$I,0)),"")</f>
        <v/>
      </c>
      <c r="D791" s="68" t="str">
        <f>IFERROR(INDEX(_Datos!D:D,MATCH(784,_Datos!$I:$I,0)),"")</f>
        <v/>
      </c>
      <c r="E791" s="69" t="str">
        <f>IFERROR(INDEX(_Datos!E:E,MATCH(784,_Datos!$I:$I,0)),"")</f>
        <v/>
      </c>
      <c r="F791" s="67" t="str">
        <f>IFERROR(INDEX(_Datos!F:F,MATCH(784,_Datos!$I:$I,0)),"")</f>
        <v/>
      </c>
      <c r="G791" s="67" t="str">
        <f>IFERROR(INDEX(_Datos!G:G,MATCH(784,_Datos!$I:$I,0)),"")</f>
        <v/>
      </c>
      <c r="H791" s="70" t="str">
        <f>IFERROR(INDEX(_Datos!H:H,MATCH(784,_Datos!$I:$I,0)),"")</f>
        <v/>
      </c>
    </row>
    <row r="792" spans="1:8" x14ac:dyDescent="0.2">
      <c r="A792" s="63" t="str">
        <f>IFERROR(INDEX(_Datos!A:A,MATCH(785,_Datos!$I:$I,0)),"")</f>
        <v/>
      </c>
      <c r="B792" s="63" t="str">
        <f>IFERROR(INDEX(_Datos!B:B,MATCH(785,_Datos!$I:$I,0)),"")</f>
        <v/>
      </c>
      <c r="C792" s="63" t="str">
        <f>IFERROR(INDEX(_Datos!C:C,MATCH(785,_Datos!$I:$I,0)),"")</f>
        <v/>
      </c>
      <c r="D792" s="64" t="str">
        <f>IFERROR(INDEX(_Datos!D:D,MATCH(785,_Datos!$I:$I,0)),"")</f>
        <v/>
      </c>
      <c r="E792" s="65" t="str">
        <f>IFERROR(INDEX(_Datos!E:E,MATCH(785,_Datos!$I:$I,0)),"")</f>
        <v/>
      </c>
      <c r="F792" s="63" t="str">
        <f>IFERROR(INDEX(_Datos!F:F,MATCH(785,_Datos!$I:$I,0)),"")</f>
        <v/>
      </c>
      <c r="G792" s="63" t="str">
        <f>IFERROR(INDEX(_Datos!G:G,MATCH(785,_Datos!$I:$I,0)),"")</f>
        <v/>
      </c>
      <c r="H792" s="66" t="str">
        <f>IFERROR(INDEX(_Datos!H:H,MATCH(785,_Datos!$I:$I,0)),"")</f>
        <v/>
      </c>
    </row>
    <row r="793" spans="1:8" x14ac:dyDescent="0.2">
      <c r="A793" s="67" t="str">
        <f>IFERROR(INDEX(_Datos!A:A,MATCH(786,_Datos!$I:$I,0)),"")</f>
        <v/>
      </c>
      <c r="B793" s="67" t="str">
        <f>IFERROR(INDEX(_Datos!B:B,MATCH(786,_Datos!$I:$I,0)),"")</f>
        <v/>
      </c>
      <c r="C793" s="67" t="str">
        <f>IFERROR(INDEX(_Datos!C:C,MATCH(786,_Datos!$I:$I,0)),"")</f>
        <v/>
      </c>
      <c r="D793" s="68" t="str">
        <f>IFERROR(INDEX(_Datos!D:D,MATCH(786,_Datos!$I:$I,0)),"")</f>
        <v/>
      </c>
      <c r="E793" s="69" t="str">
        <f>IFERROR(INDEX(_Datos!E:E,MATCH(786,_Datos!$I:$I,0)),"")</f>
        <v/>
      </c>
      <c r="F793" s="67" t="str">
        <f>IFERROR(INDEX(_Datos!F:F,MATCH(786,_Datos!$I:$I,0)),"")</f>
        <v/>
      </c>
      <c r="G793" s="67" t="str">
        <f>IFERROR(INDEX(_Datos!G:G,MATCH(786,_Datos!$I:$I,0)),"")</f>
        <v/>
      </c>
      <c r="H793" s="70" t="str">
        <f>IFERROR(INDEX(_Datos!H:H,MATCH(786,_Datos!$I:$I,0)),"")</f>
        <v/>
      </c>
    </row>
    <row r="794" spans="1:8" x14ac:dyDescent="0.2">
      <c r="A794" s="63" t="str">
        <f>IFERROR(INDEX(_Datos!A:A,MATCH(787,_Datos!$I:$I,0)),"")</f>
        <v/>
      </c>
      <c r="B794" s="63" t="str">
        <f>IFERROR(INDEX(_Datos!B:B,MATCH(787,_Datos!$I:$I,0)),"")</f>
        <v/>
      </c>
      <c r="C794" s="63" t="str">
        <f>IFERROR(INDEX(_Datos!C:C,MATCH(787,_Datos!$I:$I,0)),"")</f>
        <v/>
      </c>
      <c r="D794" s="64" t="str">
        <f>IFERROR(INDEX(_Datos!D:D,MATCH(787,_Datos!$I:$I,0)),"")</f>
        <v/>
      </c>
      <c r="E794" s="65" t="str">
        <f>IFERROR(INDEX(_Datos!E:E,MATCH(787,_Datos!$I:$I,0)),"")</f>
        <v/>
      </c>
      <c r="F794" s="63" t="str">
        <f>IFERROR(INDEX(_Datos!F:F,MATCH(787,_Datos!$I:$I,0)),"")</f>
        <v/>
      </c>
      <c r="G794" s="63" t="str">
        <f>IFERROR(INDEX(_Datos!G:G,MATCH(787,_Datos!$I:$I,0)),"")</f>
        <v/>
      </c>
      <c r="H794" s="66" t="str">
        <f>IFERROR(INDEX(_Datos!H:H,MATCH(787,_Datos!$I:$I,0)),"")</f>
        <v/>
      </c>
    </row>
    <row r="795" spans="1:8" x14ac:dyDescent="0.2">
      <c r="A795" s="67" t="str">
        <f>IFERROR(INDEX(_Datos!A:A,MATCH(788,_Datos!$I:$I,0)),"")</f>
        <v/>
      </c>
      <c r="B795" s="67" t="str">
        <f>IFERROR(INDEX(_Datos!B:B,MATCH(788,_Datos!$I:$I,0)),"")</f>
        <v/>
      </c>
      <c r="C795" s="67" t="str">
        <f>IFERROR(INDEX(_Datos!C:C,MATCH(788,_Datos!$I:$I,0)),"")</f>
        <v/>
      </c>
      <c r="D795" s="68" t="str">
        <f>IFERROR(INDEX(_Datos!D:D,MATCH(788,_Datos!$I:$I,0)),"")</f>
        <v/>
      </c>
      <c r="E795" s="69" t="str">
        <f>IFERROR(INDEX(_Datos!E:E,MATCH(788,_Datos!$I:$I,0)),"")</f>
        <v/>
      </c>
      <c r="F795" s="67" t="str">
        <f>IFERROR(INDEX(_Datos!F:F,MATCH(788,_Datos!$I:$I,0)),"")</f>
        <v/>
      </c>
      <c r="G795" s="67" t="str">
        <f>IFERROR(INDEX(_Datos!G:G,MATCH(788,_Datos!$I:$I,0)),"")</f>
        <v/>
      </c>
      <c r="H795" s="70" t="str">
        <f>IFERROR(INDEX(_Datos!H:H,MATCH(788,_Datos!$I:$I,0)),"")</f>
        <v/>
      </c>
    </row>
    <row r="796" spans="1:8" x14ac:dyDescent="0.2">
      <c r="A796" s="63" t="str">
        <f>IFERROR(INDEX(_Datos!A:A,MATCH(789,_Datos!$I:$I,0)),"")</f>
        <v/>
      </c>
      <c r="B796" s="63" t="str">
        <f>IFERROR(INDEX(_Datos!B:B,MATCH(789,_Datos!$I:$I,0)),"")</f>
        <v/>
      </c>
      <c r="C796" s="63" t="str">
        <f>IFERROR(INDEX(_Datos!C:C,MATCH(789,_Datos!$I:$I,0)),"")</f>
        <v/>
      </c>
      <c r="D796" s="64" t="str">
        <f>IFERROR(INDEX(_Datos!D:D,MATCH(789,_Datos!$I:$I,0)),"")</f>
        <v/>
      </c>
      <c r="E796" s="65" t="str">
        <f>IFERROR(INDEX(_Datos!E:E,MATCH(789,_Datos!$I:$I,0)),"")</f>
        <v/>
      </c>
      <c r="F796" s="63" t="str">
        <f>IFERROR(INDEX(_Datos!F:F,MATCH(789,_Datos!$I:$I,0)),"")</f>
        <v/>
      </c>
      <c r="G796" s="63" t="str">
        <f>IFERROR(INDEX(_Datos!G:G,MATCH(789,_Datos!$I:$I,0)),"")</f>
        <v/>
      </c>
      <c r="H796" s="66" t="str">
        <f>IFERROR(INDEX(_Datos!H:H,MATCH(789,_Datos!$I:$I,0)),"")</f>
        <v/>
      </c>
    </row>
    <row r="797" spans="1:8" x14ac:dyDescent="0.2">
      <c r="A797" s="67" t="str">
        <f>IFERROR(INDEX(_Datos!A:A,MATCH(790,_Datos!$I:$I,0)),"")</f>
        <v/>
      </c>
      <c r="B797" s="67" t="str">
        <f>IFERROR(INDEX(_Datos!B:B,MATCH(790,_Datos!$I:$I,0)),"")</f>
        <v/>
      </c>
      <c r="C797" s="67" t="str">
        <f>IFERROR(INDEX(_Datos!C:C,MATCH(790,_Datos!$I:$I,0)),"")</f>
        <v/>
      </c>
      <c r="D797" s="68" t="str">
        <f>IFERROR(INDEX(_Datos!D:D,MATCH(790,_Datos!$I:$I,0)),"")</f>
        <v/>
      </c>
      <c r="E797" s="69" t="str">
        <f>IFERROR(INDEX(_Datos!E:E,MATCH(790,_Datos!$I:$I,0)),"")</f>
        <v/>
      </c>
      <c r="F797" s="67" t="str">
        <f>IFERROR(INDEX(_Datos!F:F,MATCH(790,_Datos!$I:$I,0)),"")</f>
        <v/>
      </c>
      <c r="G797" s="67" t="str">
        <f>IFERROR(INDEX(_Datos!G:G,MATCH(790,_Datos!$I:$I,0)),"")</f>
        <v/>
      </c>
      <c r="H797" s="70" t="str">
        <f>IFERROR(INDEX(_Datos!H:H,MATCH(790,_Datos!$I:$I,0)),"")</f>
        <v/>
      </c>
    </row>
    <row r="798" spans="1:8" x14ac:dyDescent="0.2">
      <c r="A798" s="63" t="str">
        <f>IFERROR(INDEX(_Datos!A:A,MATCH(791,_Datos!$I:$I,0)),"")</f>
        <v/>
      </c>
      <c r="B798" s="63" t="str">
        <f>IFERROR(INDEX(_Datos!B:B,MATCH(791,_Datos!$I:$I,0)),"")</f>
        <v/>
      </c>
      <c r="C798" s="63" t="str">
        <f>IFERROR(INDEX(_Datos!C:C,MATCH(791,_Datos!$I:$I,0)),"")</f>
        <v/>
      </c>
      <c r="D798" s="64" t="str">
        <f>IFERROR(INDEX(_Datos!D:D,MATCH(791,_Datos!$I:$I,0)),"")</f>
        <v/>
      </c>
      <c r="E798" s="65" t="str">
        <f>IFERROR(INDEX(_Datos!E:E,MATCH(791,_Datos!$I:$I,0)),"")</f>
        <v/>
      </c>
      <c r="F798" s="63" t="str">
        <f>IFERROR(INDEX(_Datos!F:F,MATCH(791,_Datos!$I:$I,0)),"")</f>
        <v/>
      </c>
      <c r="G798" s="63" t="str">
        <f>IFERROR(INDEX(_Datos!G:G,MATCH(791,_Datos!$I:$I,0)),"")</f>
        <v/>
      </c>
      <c r="H798" s="66" t="str">
        <f>IFERROR(INDEX(_Datos!H:H,MATCH(791,_Datos!$I:$I,0)),"")</f>
        <v/>
      </c>
    </row>
    <row r="799" spans="1:8" x14ac:dyDescent="0.2">
      <c r="A799" s="67" t="str">
        <f>IFERROR(INDEX(_Datos!A:A,MATCH(792,_Datos!$I:$I,0)),"")</f>
        <v/>
      </c>
      <c r="B799" s="67" t="str">
        <f>IFERROR(INDEX(_Datos!B:B,MATCH(792,_Datos!$I:$I,0)),"")</f>
        <v/>
      </c>
      <c r="C799" s="67" t="str">
        <f>IFERROR(INDEX(_Datos!C:C,MATCH(792,_Datos!$I:$I,0)),"")</f>
        <v/>
      </c>
      <c r="D799" s="68" t="str">
        <f>IFERROR(INDEX(_Datos!D:D,MATCH(792,_Datos!$I:$I,0)),"")</f>
        <v/>
      </c>
      <c r="E799" s="69" t="str">
        <f>IFERROR(INDEX(_Datos!E:E,MATCH(792,_Datos!$I:$I,0)),"")</f>
        <v/>
      </c>
      <c r="F799" s="67" t="str">
        <f>IFERROR(INDEX(_Datos!F:F,MATCH(792,_Datos!$I:$I,0)),"")</f>
        <v/>
      </c>
      <c r="G799" s="67" t="str">
        <f>IFERROR(INDEX(_Datos!G:G,MATCH(792,_Datos!$I:$I,0)),"")</f>
        <v/>
      </c>
      <c r="H799" s="70" t="str">
        <f>IFERROR(INDEX(_Datos!H:H,MATCH(792,_Datos!$I:$I,0)),"")</f>
        <v/>
      </c>
    </row>
    <row r="800" spans="1:8" x14ac:dyDescent="0.2">
      <c r="A800" s="63" t="str">
        <f>IFERROR(INDEX(_Datos!A:A,MATCH(793,_Datos!$I:$I,0)),"")</f>
        <v/>
      </c>
      <c r="B800" s="63" t="str">
        <f>IFERROR(INDEX(_Datos!B:B,MATCH(793,_Datos!$I:$I,0)),"")</f>
        <v/>
      </c>
      <c r="C800" s="63" t="str">
        <f>IFERROR(INDEX(_Datos!C:C,MATCH(793,_Datos!$I:$I,0)),"")</f>
        <v/>
      </c>
      <c r="D800" s="64" t="str">
        <f>IFERROR(INDEX(_Datos!D:D,MATCH(793,_Datos!$I:$I,0)),"")</f>
        <v/>
      </c>
      <c r="E800" s="65" t="str">
        <f>IFERROR(INDEX(_Datos!E:E,MATCH(793,_Datos!$I:$I,0)),"")</f>
        <v/>
      </c>
      <c r="F800" s="63" t="str">
        <f>IFERROR(INDEX(_Datos!F:F,MATCH(793,_Datos!$I:$I,0)),"")</f>
        <v/>
      </c>
      <c r="G800" s="63" t="str">
        <f>IFERROR(INDEX(_Datos!G:G,MATCH(793,_Datos!$I:$I,0)),"")</f>
        <v/>
      </c>
      <c r="H800" s="66" t="str">
        <f>IFERROR(INDEX(_Datos!H:H,MATCH(793,_Datos!$I:$I,0)),"")</f>
        <v/>
      </c>
    </row>
    <row r="801" spans="1:8" x14ac:dyDescent="0.2">
      <c r="A801" s="67" t="str">
        <f>IFERROR(INDEX(_Datos!A:A,MATCH(794,_Datos!$I:$I,0)),"")</f>
        <v/>
      </c>
      <c r="B801" s="67" t="str">
        <f>IFERROR(INDEX(_Datos!B:B,MATCH(794,_Datos!$I:$I,0)),"")</f>
        <v/>
      </c>
      <c r="C801" s="67" t="str">
        <f>IFERROR(INDEX(_Datos!C:C,MATCH(794,_Datos!$I:$I,0)),"")</f>
        <v/>
      </c>
      <c r="D801" s="68" t="str">
        <f>IFERROR(INDEX(_Datos!D:D,MATCH(794,_Datos!$I:$I,0)),"")</f>
        <v/>
      </c>
      <c r="E801" s="69" t="str">
        <f>IFERROR(INDEX(_Datos!E:E,MATCH(794,_Datos!$I:$I,0)),"")</f>
        <v/>
      </c>
      <c r="F801" s="67" t="str">
        <f>IFERROR(INDEX(_Datos!F:F,MATCH(794,_Datos!$I:$I,0)),"")</f>
        <v/>
      </c>
      <c r="G801" s="67" t="str">
        <f>IFERROR(INDEX(_Datos!G:G,MATCH(794,_Datos!$I:$I,0)),"")</f>
        <v/>
      </c>
      <c r="H801" s="70" t="str">
        <f>IFERROR(INDEX(_Datos!H:H,MATCH(794,_Datos!$I:$I,0)),"")</f>
        <v/>
      </c>
    </row>
    <row r="802" spans="1:8" x14ac:dyDescent="0.2">
      <c r="A802" s="63" t="str">
        <f>IFERROR(INDEX(_Datos!A:A,MATCH(795,_Datos!$I:$I,0)),"")</f>
        <v/>
      </c>
      <c r="B802" s="63" t="str">
        <f>IFERROR(INDEX(_Datos!B:B,MATCH(795,_Datos!$I:$I,0)),"")</f>
        <v/>
      </c>
      <c r="C802" s="63" t="str">
        <f>IFERROR(INDEX(_Datos!C:C,MATCH(795,_Datos!$I:$I,0)),"")</f>
        <v/>
      </c>
      <c r="D802" s="64" t="str">
        <f>IFERROR(INDEX(_Datos!D:D,MATCH(795,_Datos!$I:$I,0)),"")</f>
        <v/>
      </c>
      <c r="E802" s="65" t="str">
        <f>IFERROR(INDEX(_Datos!E:E,MATCH(795,_Datos!$I:$I,0)),"")</f>
        <v/>
      </c>
      <c r="F802" s="63" t="str">
        <f>IFERROR(INDEX(_Datos!F:F,MATCH(795,_Datos!$I:$I,0)),"")</f>
        <v/>
      </c>
      <c r="G802" s="63" t="str">
        <f>IFERROR(INDEX(_Datos!G:G,MATCH(795,_Datos!$I:$I,0)),"")</f>
        <v/>
      </c>
      <c r="H802" s="66" t="str">
        <f>IFERROR(INDEX(_Datos!H:H,MATCH(795,_Datos!$I:$I,0)),"")</f>
        <v/>
      </c>
    </row>
    <row r="803" spans="1:8" x14ac:dyDescent="0.2">
      <c r="A803" s="67" t="str">
        <f>IFERROR(INDEX(_Datos!A:A,MATCH(796,_Datos!$I:$I,0)),"")</f>
        <v/>
      </c>
      <c r="B803" s="67" t="str">
        <f>IFERROR(INDEX(_Datos!B:B,MATCH(796,_Datos!$I:$I,0)),"")</f>
        <v/>
      </c>
      <c r="C803" s="67" t="str">
        <f>IFERROR(INDEX(_Datos!C:C,MATCH(796,_Datos!$I:$I,0)),"")</f>
        <v/>
      </c>
      <c r="D803" s="68" t="str">
        <f>IFERROR(INDEX(_Datos!D:D,MATCH(796,_Datos!$I:$I,0)),"")</f>
        <v/>
      </c>
      <c r="E803" s="69" t="str">
        <f>IFERROR(INDEX(_Datos!E:E,MATCH(796,_Datos!$I:$I,0)),"")</f>
        <v/>
      </c>
      <c r="F803" s="67" t="str">
        <f>IFERROR(INDEX(_Datos!F:F,MATCH(796,_Datos!$I:$I,0)),"")</f>
        <v/>
      </c>
      <c r="G803" s="67" t="str">
        <f>IFERROR(INDEX(_Datos!G:G,MATCH(796,_Datos!$I:$I,0)),"")</f>
        <v/>
      </c>
      <c r="H803" s="70" t="str">
        <f>IFERROR(INDEX(_Datos!H:H,MATCH(796,_Datos!$I:$I,0)),"")</f>
        <v/>
      </c>
    </row>
    <row r="804" spans="1:8" x14ac:dyDescent="0.2">
      <c r="A804" s="63" t="str">
        <f>IFERROR(INDEX(_Datos!A:A,MATCH(797,_Datos!$I:$I,0)),"")</f>
        <v/>
      </c>
      <c r="B804" s="63" t="str">
        <f>IFERROR(INDEX(_Datos!B:B,MATCH(797,_Datos!$I:$I,0)),"")</f>
        <v/>
      </c>
      <c r="C804" s="63" t="str">
        <f>IFERROR(INDEX(_Datos!C:C,MATCH(797,_Datos!$I:$I,0)),"")</f>
        <v/>
      </c>
      <c r="D804" s="64" t="str">
        <f>IFERROR(INDEX(_Datos!D:D,MATCH(797,_Datos!$I:$I,0)),"")</f>
        <v/>
      </c>
      <c r="E804" s="65" t="str">
        <f>IFERROR(INDEX(_Datos!E:E,MATCH(797,_Datos!$I:$I,0)),"")</f>
        <v/>
      </c>
      <c r="F804" s="63" t="str">
        <f>IFERROR(INDEX(_Datos!F:F,MATCH(797,_Datos!$I:$I,0)),"")</f>
        <v/>
      </c>
      <c r="G804" s="63" t="str">
        <f>IFERROR(INDEX(_Datos!G:G,MATCH(797,_Datos!$I:$I,0)),"")</f>
        <v/>
      </c>
      <c r="H804" s="66" t="str">
        <f>IFERROR(INDEX(_Datos!H:H,MATCH(797,_Datos!$I:$I,0)),"")</f>
        <v/>
      </c>
    </row>
    <row r="805" spans="1:8" x14ac:dyDescent="0.2">
      <c r="A805" s="67" t="str">
        <f>IFERROR(INDEX(_Datos!A:A,MATCH(798,_Datos!$I:$I,0)),"")</f>
        <v/>
      </c>
      <c r="B805" s="67" t="str">
        <f>IFERROR(INDEX(_Datos!B:B,MATCH(798,_Datos!$I:$I,0)),"")</f>
        <v/>
      </c>
      <c r="C805" s="67" t="str">
        <f>IFERROR(INDEX(_Datos!C:C,MATCH(798,_Datos!$I:$I,0)),"")</f>
        <v/>
      </c>
      <c r="D805" s="68" t="str">
        <f>IFERROR(INDEX(_Datos!D:D,MATCH(798,_Datos!$I:$I,0)),"")</f>
        <v/>
      </c>
      <c r="E805" s="69" t="str">
        <f>IFERROR(INDEX(_Datos!E:E,MATCH(798,_Datos!$I:$I,0)),"")</f>
        <v/>
      </c>
      <c r="F805" s="67" t="str">
        <f>IFERROR(INDEX(_Datos!F:F,MATCH(798,_Datos!$I:$I,0)),"")</f>
        <v/>
      </c>
      <c r="G805" s="67" t="str">
        <f>IFERROR(INDEX(_Datos!G:G,MATCH(798,_Datos!$I:$I,0)),"")</f>
        <v/>
      </c>
      <c r="H805" s="70" t="str">
        <f>IFERROR(INDEX(_Datos!H:H,MATCH(798,_Datos!$I:$I,0)),"")</f>
        <v/>
      </c>
    </row>
    <row r="806" spans="1:8" x14ac:dyDescent="0.2">
      <c r="A806" s="63" t="str">
        <f>IFERROR(INDEX(_Datos!A:A,MATCH(799,_Datos!$I:$I,0)),"")</f>
        <v/>
      </c>
      <c r="B806" s="63" t="str">
        <f>IFERROR(INDEX(_Datos!B:B,MATCH(799,_Datos!$I:$I,0)),"")</f>
        <v/>
      </c>
      <c r="C806" s="63" t="str">
        <f>IFERROR(INDEX(_Datos!C:C,MATCH(799,_Datos!$I:$I,0)),"")</f>
        <v/>
      </c>
      <c r="D806" s="64" t="str">
        <f>IFERROR(INDEX(_Datos!D:D,MATCH(799,_Datos!$I:$I,0)),"")</f>
        <v/>
      </c>
      <c r="E806" s="65" t="str">
        <f>IFERROR(INDEX(_Datos!E:E,MATCH(799,_Datos!$I:$I,0)),"")</f>
        <v/>
      </c>
      <c r="F806" s="63" t="str">
        <f>IFERROR(INDEX(_Datos!F:F,MATCH(799,_Datos!$I:$I,0)),"")</f>
        <v/>
      </c>
      <c r="G806" s="63" t="str">
        <f>IFERROR(INDEX(_Datos!G:G,MATCH(799,_Datos!$I:$I,0)),"")</f>
        <v/>
      </c>
      <c r="H806" s="66" t="str">
        <f>IFERROR(INDEX(_Datos!H:H,MATCH(799,_Datos!$I:$I,0)),"")</f>
        <v/>
      </c>
    </row>
    <row r="807" spans="1:8" x14ac:dyDescent="0.2">
      <c r="A807" s="67" t="str">
        <f>IFERROR(INDEX(_Datos!A:A,MATCH(800,_Datos!$I:$I,0)),"")</f>
        <v/>
      </c>
      <c r="B807" s="67" t="str">
        <f>IFERROR(INDEX(_Datos!B:B,MATCH(800,_Datos!$I:$I,0)),"")</f>
        <v/>
      </c>
      <c r="C807" s="67" t="str">
        <f>IFERROR(INDEX(_Datos!C:C,MATCH(800,_Datos!$I:$I,0)),"")</f>
        <v/>
      </c>
      <c r="D807" s="68" t="str">
        <f>IFERROR(INDEX(_Datos!D:D,MATCH(800,_Datos!$I:$I,0)),"")</f>
        <v/>
      </c>
      <c r="E807" s="69" t="str">
        <f>IFERROR(INDEX(_Datos!E:E,MATCH(800,_Datos!$I:$I,0)),"")</f>
        <v/>
      </c>
      <c r="F807" s="67" t="str">
        <f>IFERROR(INDEX(_Datos!F:F,MATCH(800,_Datos!$I:$I,0)),"")</f>
        <v/>
      </c>
      <c r="G807" s="67" t="str">
        <f>IFERROR(INDEX(_Datos!G:G,MATCH(800,_Datos!$I:$I,0)),"")</f>
        <v/>
      </c>
      <c r="H807" s="70" t="str">
        <f>IFERROR(INDEX(_Datos!H:H,MATCH(800,_Datos!$I:$I,0)),"")</f>
        <v/>
      </c>
    </row>
    <row r="808" spans="1:8" x14ac:dyDescent="0.2">
      <c r="A808" s="63" t="str">
        <f>IFERROR(INDEX(_Datos!A:A,MATCH(801,_Datos!$I:$I,0)),"")</f>
        <v/>
      </c>
      <c r="B808" s="63" t="str">
        <f>IFERROR(INDEX(_Datos!B:B,MATCH(801,_Datos!$I:$I,0)),"")</f>
        <v/>
      </c>
      <c r="C808" s="63" t="str">
        <f>IFERROR(INDEX(_Datos!C:C,MATCH(801,_Datos!$I:$I,0)),"")</f>
        <v/>
      </c>
      <c r="D808" s="64" t="str">
        <f>IFERROR(INDEX(_Datos!D:D,MATCH(801,_Datos!$I:$I,0)),"")</f>
        <v/>
      </c>
      <c r="E808" s="65" t="str">
        <f>IFERROR(INDEX(_Datos!E:E,MATCH(801,_Datos!$I:$I,0)),"")</f>
        <v/>
      </c>
      <c r="F808" s="63" t="str">
        <f>IFERROR(INDEX(_Datos!F:F,MATCH(801,_Datos!$I:$I,0)),"")</f>
        <v/>
      </c>
      <c r="G808" s="63" t="str">
        <f>IFERROR(INDEX(_Datos!G:G,MATCH(801,_Datos!$I:$I,0)),"")</f>
        <v/>
      </c>
      <c r="H808" s="66" t="str">
        <f>IFERROR(INDEX(_Datos!H:H,MATCH(801,_Datos!$I:$I,0)),"")</f>
        <v/>
      </c>
    </row>
    <row r="809" spans="1:8" x14ac:dyDescent="0.2">
      <c r="A809" s="67" t="str">
        <f>IFERROR(INDEX(_Datos!A:A,MATCH(802,_Datos!$I:$I,0)),"")</f>
        <v/>
      </c>
      <c r="B809" s="67" t="str">
        <f>IFERROR(INDEX(_Datos!B:B,MATCH(802,_Datos!$I:$I,0)),"")</f>
        <v/>
      </c>
      <c r="C809" s="67" t="str">
        <f>IFERROR(INDEX(_Datos!C:C,MATCH(802,_Datos!$I:$I,0)),"")</f>
        <v/>
      </c>
      <c r="D809" s="68" t="str">
        <f>IFERROR(INDEX(_Datos!D:D,MATCH(802,_Datos!$I:$I,0)),"")</f>
        <v/>
      </c>
      <c r="E809" s="69" t="str">
        <f>IFERROR(INDEX(_Datos!E:E,MATCH(802,_Datos!$I:$I,0)),"")</f>
        <v/>
      </c>
      <c r="F809" s="67" t="str">
        <f>IFERROR(INDEX(_Datos!F:F,MATCH(802,_Datos!$I:$I,0)),"")</f>
        <v/>
      </c>
      <c r="G809" s="67" t="str">
        <f>IFERROR(INDEX(_Datos!G:G,MATCH(802,_Datos!$I:$I,0)),"")</f>
        <v/>
      </c>
      <c r="H809" s="70" t="str">
        <f>IFERROR(INDEX(_Datos!H:H,MATCH(802,_Datos!$I:$I,0)),"")</f>
        <v/>
      </c>
    </row>
    <row r="810" spans="1:8" x14ac:dyDescent="0.2">
      <c r="A810" s="63" t="str">
        <f>IFERROR(INDEX(_Datos!A:A,MATCH(803,_Datos!$I:$I,0)),"")</f>
        <v/>
      </c>
      <c r="B810" s="63" t="str">
        <f>IFERROR(INDEX(_Datos!B:B,MATCH(803,_Datos!$I:$I,0)),"")</f>
        <v/>
      </c>
      <c r="C810" s="63" t="str">
        <f>IFERROR(INDEX(_Datos!C:C,MATCH(803,_Datos!$I:$I,0)),"")</f>
        <v/>
      </c>
      <c r="D810" s="64" t="str">
        <f>IFERROR(INDEX(_Datos!D:D,MATCH(803,_Datos!$I:$I,0)),"")</f>
        <v/>
      </c>
      <c r="E810" s="65" t="str">
        <f>IFERROR(INDEX(_Datos!E:E,MATCH(803,_Datos!$I:$I,0)),"")</f>
        <v/>
      </c>
      <c r="F810" s="63" t="str">
        <f>IFERROR(INDEX(_Datos!F:F,MATCH(803,_Datos!$I:$I,0)),"")</f>
        <v/>
      </c>
      <c r="G810" s="63" t="str">
        <f>IFERROR(INDEX(_Datos!G:G,MATCH(803,_Datos!$I:$I,0)),"")</f>
        <v/>
      </c>
      <c r="H810" s="66" t="str">
        <f>IFERROR(INDEX(_Datos!H:H,MATCH(803,_Datos!$I:$I,0)),"")</f>
        <v/>
      </c>
    </row>
    <row r="811" spans="1:8" x14ac:dyDescent="0.2">
      <c r="A811" s="67" t="str">
        <f>IFERROR(INDEX(_Datos!A:A,MATCH(804,_Datos!$I:$I,0)),"")</f>
        <v/>
      </c>
      <c r="B811" s="67" t="str">
        <f>IFERROR(INDEX(_Datos!B:B,MATCH(804,_Datos!$I:$I,0)),"")</f>
        <v/>
      </c>
      <c r="C811" s="67" t="str">
        <f>IFERROR(INDEX(_Datos!C:C,MATCH(804,_Datos!$I:$I,0)),"")</f>
        <v/>
      </c>
      <c r="D811" s="68" t="str">
        <f>IFERROR(INDEX(_Datos!D:D,MATCH(804,_Datos!$I:$I,0)),"")</f>
        <v/>
      </c>
      <c r="E811" s="69" t="str">
        <f>IFERROR(INDEX(_Datos!E:E,MATCH(804,_Datos!$I:$I,0)),"")</f>
        <v/>
      </c>
      <c r="F811" s="67" t="str">
        <f>IFERROR(INDEX(_Datos!F:F,MATCH(804,_Datos!$I:$I,0)),"")</f>
        <v/>
      </c>
      <c r="G811" s="67" t="str">
        <f>IFERROR(INDEX(_Datos!G:G,MATCH(804,_Datos!$I:$I,0)),"")</f>
        <v/>
      </c>
      <c r="H811" s="70" t="str">
        <f>IFERROR(INDEX(_Datos!H:H,MATCH(804,_Datos!$I:$I,0)),"")</f>
        <v/>
      </c>
    </row>
    <row r="812" spans="1:8" x14ac:dyDescent="0.2">
      <c r="A812" s="63" t="str">
        <f>IFERROR(INDEX(_Datos!A:A,MATCH(805,_Datos!$I:$I,0)),"")</f>
        <v/>
      </c>
      <c r="B812" s="63" t="str">
        <f>IFERROR(INDEX(_Datos!B:B,MATCH(805,_Datos!$I:$I,0)),"")</f>
        <v/>
      </c>
      <c r="C812" s="63" t="str">
        <f>IFERROR(INDEX(_Datos!C:C,MATCH(805,_Datos!$I:$I,0)),"")</f>
        <v/>
      </c>
      <c r="D812" s="64" t="str">
        <f>IFERROR(INDEX(_Datos!D:D,MATCH(805,_Datos!$I:$I,0)),"")</f>
        <v/>
      </c>
      <c r="E812" s="65" t="str">
        <f>IFERROR(INDEX(_Datos!E:E,MATCH(805,_Datos!$I:$I,0)),"")</f>
        <v/>
      </c>
      <c r="F812" s="63" t="str">
        <f>IFERROR(INDEX(_Datos!F:F,MATCH(805,_Datos!$I:$I,0)),"")</f>
        <v/>
      </c>
      <c r="G812" s="63" t="str">
        <f>IFERROR(INDEX(_Datos!G:G,MATCH(805,_Datos!$I:$I,0)),"")</f>
        <v/>
      </c>
      <c r="H812" s="66" t="str">
        <f>IFERROR(INDEX(_Datos!H:H,MATCH(805,_Datos!$I:$I,0)),"")</f>
        <v/>
      </c>
    </row>
    <row r="813" spans="1:8" x14ac:dyDescent="0.2">
      <c r="A813" s="67" t="str">
        <f>IFERROR(INDEX(_Datos!A:A,MATCH(806,_Datos!$I:$I,0)),"")</f>
        <v/>
      </c>
      <c r="B813" s="67" t="str">
        <f>IFERROR(INDEX(_Datos!B:B,MATCH(806,_Datos!$I:$I,0)),"")</f>
        <v/>
      </c>
      <c r="C813" s="67" t="str">
        <f>IFERROR(INDEX(_Datos!C:C,MATCH(806,_Datos!$I:$I,0)),"")</f>
        <v/>
      </c>
      <c r="D813" s="68" t="str">
        <f>IFERROR(INDEX(_Datos!D:D,MATCH(806,_Datos!$I:$I,0)),"")</f>
        <v/>
      </c>
      <c r="E813" s="69" t="str">
        <f>IFERROR(INDEX(_Datos!E:E,MATCH(806,_Datos!$I:$I,0)),"")</f>
        <v/>
      </c>
      <c r="F813" s="67" t="str">
        <f>IFERROR(INDEX(_Datos!F:F,MATCH(806,_Datos!$I:$I,0)),"")</f>
        <v/>
      </c>
      <c r="G813" s="67" t="str">
        <f>IFERROR(INDEX(_Datos!G:G,MATCH(806,_Datos!$I:$I,0)),"")</f>
        <v/>
      </c>
      <c r="H813" s="70" t="str">
        <f>IFERROR(INDEX(_Datos!H:H,MATCH(806,_Datos!$I:$I,0)),"")</f>
        <v/>
      </c>
    </row>
    <row r="814" spans="1:8" x14ac:dyDescent="0.2">
      <c r="A814" s="63" t="str">
        <f>IFERROR(INDEX(_Datos!A:A,MATCH(807,_Datos!$I:$I,0)),"")</f>
        <v/>
      </c>
      <c r="B814" s="63" t="str">
        <f>IFERROR(INDEX(_Datos!B:B,MATCH(807,_Datos!$I:$I,0)),"")</f>
        <v/>
      </c>
      <c r="C814" s="63" t="str">
        <f>IFERROR(INDEX(_Datos!C:C,MATCH(807,_Datos!$I:$I,0)),"")</f>
        <v/>
      </c>
      <c r="D814" s="64" t="str">
        <f>IFERROR(INDEX(_Datos!D:D,MATCH(807,_Datos!$I:$I,0)),"")</f>
        <v/>
      </c>
      <c r="E814" s="65" t="str">
        <f>IFERROR(INDEX(_Datos!E:E,MATCH(807,_Datos!$I:$I,0)),"")</f>
        <v/>
      </c>
      <c r="F814" s="63" t="str">
        <f>IFERROR(INDEX(_Datos!F:F,MATCH(807,_Datos!$I:$I,0)),"")</f>
        <v/>
      </c>
      <c r="G814" s="63" t="str">
        <f>IFERROR(INDEX(_Datos!G:G,MATCH(807,_Datos!$I:$I,0)),"")</f>
        <v/>
      </c>
      <c r="H814" s="66" t="str">
        <f>IFERROR(INDEX(_Datos!H:H,MATCH(807,_Datos!$I:$I,0)),"")</f>
        <v/>
      </c>
    </row>
    <row r="815" spans="1:8" x14ac:dyDescent="0.2">
      <c r="A815" s="67" t="str">
        <f>IFERROR(INDEX(_Datos!A:A,MATCH(808,_Datos!$I:$I,0)),"")</f>
        <v/>
      </c>
      <c r="B815" s="67" t="str">
        <f>IFERROR(INDEX(_Datos!B:B,MATCH(808,_Datos!$I:$I,0)),"")</f>
        <v/>
      </c>
      <c r="C815" s="67" t="str">
        <f>IFERROR(INDEX(_Datos!C:C,MATCH(808,_Datos!$I:$I,0)),"")</f>
        <v/>
      </c>
      <c r="D815" s="68" t="str">
        <f>IFERROR(INDEX(_Datos!D:D,MATCH(808,_Datos!$I:$I,0)),"")</f>
        <v/>
      </c>
      <c r="E815" s="69" t="str">
        <f>IFERROR(INDEX(_Datos!E:E,MATCH(808,_Datos!$I:$I,0)),"")</f>
        <v/>
      </c>
      <c r="F815" s="67" t="str">
        <f>IFERROR(INDEX(_Datos!F:F,MATCH(808,_Datos!$I:$I,0)),"")</f>
        <v/>
      </c>
      <c r="G815" s="67" t="str">
        <f>IFERROR(INDEX(_Datos!G:G,MATCH(808,_Datos!$I:$I,0)),"")</f>
        <v/>
      </c>
      <c r="H815" s="70" t="str">
        <f>IFERROR(INDEX(_Datos!H:H,MATCH(808,_Datos!$I:$I,0)),"")</f>
        <v/>
      </c>
    </row>
    <row r="816" spans="1:8" x14ac:dyDescent="0.2">
      <c r="A816" s="63" t="str">
        <f>IFERROR(INDEX(_Datos!A:A,MATCH(809,_Datos!$I:$I,0)),"")</f>
        <v/>
      </c>
      <c r="B816" s="63" t="str">
        <f>IFERROR(INDEX(_Datos!B:B,MATCH(809,_Datos!$I:$I,0)),"")</f>
        <v/>
      </c>
      <c r="C816" s="63" t="str">
        <f>IFERROR(INDEX(_Datos!C:C,MATCH(809,_Datos!$I:$I,0)),"")</f>
        <v/>
      </c>
      <c r="D816" s="64" t="str">
        <f>IFERROR(INDEX(_Datos!D:D,MATCH(809,_Datos!$I:$I,0)),"")</f>
        <v/>
      </c>
      <c r="E816" s="65" t="str">
        <f>IFERROR(INDEX(_Datos!E:E,MATCH(809,_Datos!$I:$I,0)),"")</f>
        <v/>
      </c>
      <c r="F816" s="63" t="str">
        <f>IFERROR(INDEX(_Datos!F:F,MATCH(809,_Datos!$I:$I,0)),"")</f>
        <v/>
      </c>
      <c r="G816" s="63" t="str">
        <f>IFERROR(INDEX(_Datos!G:G,MATCH(809,_Datos!$I:$I,0)),"")</f>
        <v/>
      </c>
      <c r="H816" s="66" t="str">
        <f>IFERROR(INDEX(_Datos!H:H,MATCH(809,_Datos!$I:$I,0)),"")</f>
        <v/>
      </c>
    </row>
    <row r="817" spans="1:8" x14ac:dyDescent="0.2">
      <c r="A817" s="67" t="str">
        <f>IFERROR(INDEX(_Datos!A:A,MATCH(810,_Datos!$I:$I,0)),"")</f>
        <v/>
      </c>
      <c r="B817" s="67" t="str">
        <f>IFERROR(INDEX(_Datos!B:B,MATCH(810,_Datos!$I:$I,0)),"")</f>
        <v/>
      </c>
      <c r="C817" s="67" t="str">
        <f>IFERROR(INDEX(_Datos!C:C,MATCH(810,_Datos!$I:$I,0)),"")</f>
        <v/>
      </c>
      <c r="D817" s="68" t="str">
        <f>IFERROR(INDEX(_Datos!D:D,MATCH(810,_Datos!$I:$I,0)),"")</f>
        <v/>
      </c>
      <c r="E817" s="69" t="str">
        <f>IFERROR(INDEX(_Datos!E:E,MATCH(810,_Datos!$I:$I,0)),"")</f>
        <v/>
      </c>
      <c r="F817" s="67" t="str">
        <f>IFERROR(INDEX(_Datos!F:F,MATCH(810,_Datos!$I:$I,0)),"")</f>
        <v/>
      </c>
      <c r="G817" s="67" t="str">
        <f>IFERROR(INDEX(_Datos!G:G,MATCH(810,_Datos!$I:$I,0)),"")</f>
        <v/>
      </c>
      <c r="H817" s="70" t="str">
        <f>IFERROR(INDEX(_Datos!H:H,MATCH(810,_Datos!$I:$I,0)),"")</f>
        <v/>
      </c>
    </row>
    <row r="818" spans="1:8" x14ac:dyDescent="0.2">
      <c r="A818" s="63" t="str">
        <f>IFERROR(INDEX(_Datos!A:A,MATCH(811,_Datos!$I:$I,0)),"")</f>
        <v/>
      </c>
      <c r="B818" s="63" t="str">
        <f>IFERROR(INDEX(_Datos!B:B,MATCH(811,_Datos!$I:$I,0)),"")</f>
        <v/>
      </c>
      <c r="C818" s="63" t="str">
        <f>IFERROR(INDEX(_Datos!C:C,MATCH(811,_Datos!$I:$I,0)),"")</f>
        <v/>
      </c>
      <c r="D818" s="64" t="str">
        <f>IFERROR(INDEX(_Datos!D:D,MATCH(811,_Datos!$I:$I,0)),"")</f>
        <v/>
      </c>
      <c r="E818" s="65" t="str">
        <f>IFERROR(INDEX(_Datos!E:E,MATCH(811,_Datos!$I:$I,0)),"")</f>
        <v/>
      </c>
      <c r="F818" s="63" t="str">
        <f>IFERROR(INDEX(_Datos!F:F,MATCH(811,_Datos!$I:$I,0)),"")</f>
        <v/>
      </c>
      <c r="G818" s="63" t="str">
        <f>IFERROR(INDEX(_Datos!G:G,MATCH(811,_Datos!$I:$I,0)),"")</f>
        <v/>
      </c>
      <c r="H818" s="66" t="str">
        <f>IFERROR(INDEX(_Datos!H:H,MATCH(811,_Datos!$I:$I,0)),"")</f>
        <v/>
      </c>
    </row>
    <row r="819" spans="1:8" x14ac:dyDescent="0.2">
      <c r="A819" s="67" t="str">
        <f>IFERROR(INDEX(_Datos!A:A,MATCH(812,_Datos!$I:$I,0)),"")</f>
        <v/>
      </c>
      <c r="B819" s="67" t="str">
        <f>IFERROR(INDEX(_Datos!B:B,MATCH(812,_Datos!$I:$I,0)),"")</f>
        <v/>
      </c>
      <c r="C819" s="67" t="str">
        <f>IFERROR(INDEX(_Datos!C:C,MATCH(812,_Datos!$I:$I,0)),"")</f>
        <v/>
      </c>
      <c r="D819" s="68" t="str">
        <f>IFERROR(INDEX(_Datos!D:D,MATCH(812,_Datos!$I:$I,0)),"")</f>
        <v/>
      </c>
      <c r="E819" s="69" t="str">
        <f>IFERROR(INDEX(_Datos!E:E,MATCH(812,_Datos!$I:$I,0)),"")</f>
        <v/>
      </c>
      <c r="F819" s="67" t="str">
        <f>IFERROR(INDEX(_Datos!F:F,MATCH(812,_Datos!$I:$I,0)),"")</f>
        <v/>
      </c>
      <c r="G819" s="67" t="str">
        <f>IFERROR(INDEX(_Datos!G:G,MATCH(812,_Datos!$I:$I,0)),"")</f>
        <v/>
      </c>
      <c r="H819" s="70" t="str">
        <f>IFERROR(INDEX(_Datos!H:H,MATCH(812,_Datos!$I:$I,0)),"")</f>
        <v/>
      </c>
    </row>
    <row r="820" spans="1:8" x14ac:dyDescent="0.2">
      <c r="A820" s="63" t="str">
        <f>IFERROR(INDEX(_Datos!A:A,MATCH(813,_Datos!$I:$I,0)),"")</f>
        <v/>
      </c>
      <c r="B820" s="63" t="str">
        <f>IFERROR(INDEX(_Datos!B:B,MATCH(813,_Datos!$I:$I,0)),"")</f>
        <v/>
      </c>
      <c r="C820" s="63" t="str">
        <f>IFERROR(INDEX(_Datos!C:C,MATCH(813,_Datos!$I:$I,0)),"")</f>
        <v/>
      </c>
      <c r="D820" s="64" t="str">
        <f>IFERROR(INDEX(_Datos!D:D,MATCH(813,_Datos!$I:$I,0)),"")</f>
        <v/>
      </c>
      <c r="E820" s="65" t="str">
        <f>IFERROR(INDEX(_Datos!E:E,MATCH(813,_Datos!$I:$I,0)),"")</f>
        <v/>
      </c>
      <c r="F820" s="63" t="str">
        <f>IFERROR(INDEX(_Datos!F:F,MATCH(813,_Datos!$I:$I,0)),"")</f>
        <v/>
      </c>
      <c r="G820" s="63" t="str">
        <f>IFERROR(INDEX(_Datos!G:G,MATCH(813,_Datos!$I:$I,0)),"")</f>
        <v/>
      </c>
      <c r="H820" s="66" t="str">
        <f>IFERROR(INDEX(_Datos!H:H,MATCH(813,_Datos!$I:$I,0)),"")</f>
        <v/>
      </c>
    </row>
    <row r="821" spans="1:8" x14ac:dyDescent="0.2">
      <c r="A821" s="67" t="str">
        <f>IFERROR(INDEX(_Datos!A:A,MATCH(814,_Datos!$I:$I,0)),"")</f>
        <v/>
      </c>
      <c r="B821" s="67" t="str">
        <f>IFERROR(INDEX(_Datos!B:B,MATCH(814,_Datos!$I:$I,0)),"")</f>
        <v/>
      </c>
      <c r="C821" s="67" t="str">
        <f>IFERROR(INDEX(_Datos!C:C,MATCH(814,_Datos!$I:$I,0)),"")</f>
        <v/>
      </c>
      <c r="D821" s="68" t="str">
        <f>IFERROR(INDEX(_Datos!D:D,MATCH(814,_Datos!$I:$I,0)),"")</f>
        <v/>
      </c>
      <c r="E821" s="69" t="str">
        <f>IFERROR(INDEX(_Datos!E:E,MATCH(814,_Datos!$I:$I,0)),"")</f>
        <v/>
      </c>
      <c r="F821" s="67" t="str">
        <f>IFERROR(INDEX(_Datos!F:F,MATCH(814,_Datos!$I:$I,0)),"")</f>
        <v/>
      </c>
      <c r="G821" s="67" t="str">
        <f>IFERROR(INDEX(_Datos!G:G,MATCH(814,_Datos!$I:$I,0)),"")</f>
        <v/>
      </c>
      <c r="H821" s="70" t="str">
        <f>IFERROR(INDEX(_Datos!H:H,MATCH(814,_Datos!$I:$I,0)),"")</f>
        <v/>
      </c>
    </row>
    <row r="822" spans="1:8" x14ac:dyDescent="0.2">
      <c r="A822" s="63" t="str">
        <f>IFERROR(INDEX(_Datos!A:A,MATCH(815,_Datos!$I:$I,0)),"")</f>
        <v/>
      </c>
      <c r="B822" s="63" t="str">
        <f>IFERROR(INDEX(_Datos!B:B,MATCH(815,_Datos!$I:$I,0)),"")</f>
        <v/>
      </c>
      <c r="C822" s="63" t="str">
        <f>IFERROR(INDEX(_Datos!C:C,MATCH(815,_Datos!$I:$I,0)),"")</f>
        <v/>
      </c>
      <c r="D822" s="64" t="str">
        <f>IFERROR(INDEX(_Datos!D:D,MATCH(815,_Datos!$I:$I,0)),"")</f>
        <v/>
      </c>
      <c r="E822" s="65" t="str">
        <f>IFERROR(INDEX(_Datos!E:E,MATCH(815,_Datos!$I:$I,0)),"")</f>
        <v/>
      </c>
      <c r="F822" s="63" t="str">
        <f>IFERROR(INDEX(_Datos!F:F,MATCH(815,_Datos!$I:$I,0)),"")</f>
        <v/>
      </c>
      <c r="G822" s="63" t="str">
        <f>IFERROR(INDEX(_Datos!G:G,MATCH(815,_Datos!$I:$I,0)),"")</f>
        <v/>
      </c>
      <c r="H822" s="66" t="str">
        <f>IFERROR(INDEX(_Datos!H:H,MATCH(815,_Datos!$I:$I,0)),"")</f>
        <v/>
      </c>
    </row>
    <row r="823" spans="1:8" x14ac:dyDescent="0.2">
      <c r="A823" s="67" t="str">
        <f>IFERROR(INDEX(_Datos!A:A,MATCH(816,_Datos!$I:$I,0)),"")</f>
        <v/>
      </c>
      <c r="B823" s="67" t="str">
        <f>IFERROR(INDEX(_Datos!B:B,MATCH(816,_Datos!$I:$I,0)),"")</f>
        <v/>
      </c>
      <c r="C823" s="67" t="str">
        <f>IFERROR(INDEX(_Datos!C:C,MATCH(816,_Datos!$I:$I,0)),"")</f>
        <v/>
      </c>
      <c r="D823" s="68" t="str">
        <f>IFERROR(INDEX(_Datos!D:D,MATCH(816,_Datos!$I:$I,0)),"")</f>
        <v/>
      </c>
      <c r="E823" s="69" t="str">
        <f>IFERROR(INDEX(_Datos!E:E,MATCH(816,_Datos!$I:$I,0)),"")</f>
        <v/>
      </c>
      <c r="F823" s="67" t="str">
        <f>IFERROR(INDEX(_Datos!F:F,MATCH(816,_Datos!$I:$I,0)),"")</f>
        <v/>
      </c>
      <c r="G823" s="67" t="str">
        <f>IFERROR(INDEX(_Datos!G:G,MATCH(816,_Datos!$I:$I,0)),"")</f>
        <v/>
      </c>
      <c r="H823" s="70" t="str">
        <f>IFERROR(INDEX(_Datos!H:H,MATCH(816,_Datos!$I:$I,0)),"")</f>
        <v/>
      </c>
    </row>
    <row r="824" spans="1:8" x14ac:dyDescent="0.2">
      <c r="A824" s="63" t="str">
        <f>IFERROR(INDEX(_Datos!A:A,MATCH(817,_Datos!$I:$I,0)),"")</f>
        <v/>
      </c>
      <c r="B824" s="63" t="str">
        <f>IFERROR(INDEX(_Datos!B:B,MATCH(817,_Datos!$I:$I,0)),"")</f>
        <v/>
      </c>
      <c r="C824" s="63" t="str">
        <f>IFERROR(INDEX(_Datos!C:C,MATCH(817,_Datos!$I:$I,0)),"")</f>
        <v/>
      </c>
      <c r="D824" s="64" t="str">
        <f>IFERROR(INDEX(_Datos!D:D,MATCH(817,_Datos!$I:$I,0)),"")</f>
        <v/>
      </c>
      <c r="E824" s="65" t="str">
        <f>IFERROR(INDEX(_Datos!E:E,MATCH(817,_Datos!$I:$I,0)),"")</f>
        <v/>
      </c>
      <c r="F824" s="63" t="str">
        <f>IFERROR(INDEX(_Datos!F:F,MATCH(817,_Datos!$I:$I,0)),"")</f>
        <v/>
      </c>
      <c r="G824" s="63" t="str">
        <f>IFERROR(INDEX(_Datos!G:G,MATCH(817,_Datos!$I:$I,0)),"")</f>
        <v/>
      </c>
      <c r="H824" s="66" t="str">
        <f>IFERROR(INDEX(_Datos!H:H,MATCH(817,_Datos!$I:$I,0)),"")</f>
        <v/>
      </c>
    </row>
    <row r="825" spans="1:8" x14ac:dyDescent="0.2">
      <c r="A825" s="67" t="str">
        <f>IFERROR(INDEX(_Datos!A:A,MATCH(818,_Datos!$I:$I,0)),"")</f>
        <v/>
      </c>
      <c r="B825" s="67" t="str">
        <f>IFERROR(INDEX(_Datos!B:B,MATCH(818,_Datos!$I:$I,0)),"")</f>
        <v/>
      </c>
      <c r="C825" s="67" t="str">
        <f>IFERROR(INDEX(_Datos!C:C,MATCH(818,_Datos!$I:$I,0)),"")</f>
        <v/>
      </c>
      <c r="D825" s="68" t="str">
        <f>IFERROR(INDEX(_Datos!D:D,MATCH(818,_Datos!$I:$I,0)),"")</f>
        <v/>
      </c>
      <c r="E825" s="69" t="str">
        <f>IFERROR(INDEX(_Datos!E:E,MATCH(818,_Datos!$I:$I,0)),"")</f>
        <v/>
      </c>
      <c r="F825" s="67" t="str">
        <f>IFERROR(INDEX(_Datos!F:F,MATCH(818,_Datos!$I:$I,0)),"")</f>
        <v/>
      </c>
      <c r="G825" s="67" t="str">
        <f>IFERROR(INDEX(_Datos!G:G,MATCH(818,_Datos!$I:$I,0)),"")</f>
        <v/>
      </c>
      <c r="H825" s="70" t="str">
        <f>IFERROR(INDEX(_Datos!H:H,MATCH(818,_Datos!$I:$I,0)),"")</f>
        <v/>
      </c>
    </row>
    <row r="826" spans="1:8" x14ac:dyDescent="0.2">
      <c r="A826" s="63" t="str">
        <f>IFERROR(INDEX(_Datos!A:A,MATCH(819,_Datos!$I:$I,0)),"")</f>
        <v/>
      </c>
      <c r="B826" s="63" t="str">
        <f>IFERROR(INDEX(_Datos!B:B,MATCH(819,_Datos!$I:$I,0)),"")</f>
        <v/>
      </c>
      <c r="C826" s="63" t="str">
        <f>IFERROR(INDEX(_Datos!C:C,MATCH(819,_Datos!$I:$I,0)),"")</f>
        <v/>
      </c>
      <c r="D826" s="64" t="str">
        <f>IFERROR(INDEX(_Datos!D:D,MATCH(819,_Datos!$I:$I,0)),"")</f>
        <v/>
      </c>
      <c r="E826" s="65" t="str">
        <f>IFERROR(INDEX(_Datos!E:E,MATCH(819,_Datos!$I:$I,0)),"")</f>
        <v/>
      </c>
      <c r="F826" s="63" t="str">
        <f>IFERROR(INDEX(_Datos!F:F,MATCH(819,_Datos!$I:$I,0)),"")</f>
        <v/>
      </c>
      <c r="G826" s="63" t="str">
        <f>IFERROR(INDEX(_Datos!G:G,MATCH(819,_Datos!$I:$I,0)),"")</f>
        <v/>
      </c>
      <c r="H826" s="66" t="str">
        <f>IFERROR(INDEX(_Datos!H:H,MATCH(819,_Datos!$I:$I,0)),"")</f>
        <v/>
      </c>
    </row>
    <row r="827" spans="1:8" x14ac:dyDescent="0.2">
      <c r="A827" s="67" t="str">
        <f>IFERROR(INDEX(_Datos!A:A,MATCH(820,_Datos!$I:$I,0)),"")</f>
        <v/>
      </c>
      <c r="B827" s="67" t="str">
        <f>IFERROR(INDEX(_Datos!B:B,MATCH(820,_Datos!$I:$I,0)),"")</f>
        <v/>
      </c>
      <c r="C827" s="67" t="str">
        <f>IFERROR(INDEX(_Datos!C:C,MATCH(820,_Datos!$I:$I,0)),"")</f>
        <v/>
      </c>
      <c r="D827" s="68" t="str">
        <f>IFERROR(INDEX(_Datos!D:D,MATCH(820,_Datos!$I:$I,0)),"")</f>
        <v/>
      </c>
      <c r="E827" s="69" t="str">
        <f>IFERROR(INDEX(_Datos!E:E,MATCH(820,_Datos!$I:$I,0)),"")</f>
        <v/>
      </c>
      <c r="F827" s="67" t="str">
        <f>IFERROR(INDEX(_Datos!F:F,MATCH(820,_Datos!$I:$I,0)),"")</f>
        <v/>
      </c>
      <c r="G827" s="67" t="str">
        <f>IFERROR(INDEX(_Datos!G:G,MATCH(820,_Datos!$I:$I,0)),"")</f>
        <v/>
      </c>
      <c r="H827" s="70" t="str">
        <f>IFERROR(INDEX(_Datos!H:H,MATCH(820,_Datos!$I:$I,0)),"")</f>
        <v/>
      </c>
    </row>
    <row r="828" spans="1:8" x14ac:dyDescent="0.2">
      <c r="A828" s="63" t="str">
        <f>IFERROR(INDEX(_Datos!A:A,MATCH(821,_Datos!$I:$I,0)),"")</f>
        <v/>
      </c>
      <c r="B828" s="63" t="str">
        <f>IFERROR(INDEX(_Datos!B:B,MATCH(821,_Datos!$I:$I,0)),"")</f>
        <v/>
      </c>
      <c r="C828" s="63" t="str">
        <f>IFERROR(INDEX(_Datos!C:C,MATCH(821,_Datos!$I:$I,0)),"")</f>
        <v/>
      </c>
      <c r="D828" s="64" t="str">
        <f>IFERROR(INDEX(_Datos!D:D,MATCH(821,_Datos!$I:$I,0)),"")</f>
        <v/>
      </c>
      <c r="E828" s="65" t="str">
        <f>IFERROR(INDEX(_Datos!E:E,MATCH(821,_Datos!$I:$I,0)),"")</f>
        <v/>
      </c>
      <c r="F828" s="63" t="str">
        <f>IFERROR(INDEX(_Datos!F:F,MATCH(821,_Datos!$I:$I,0)),"")</f>
        <v/>
      </c>
      <c r="G828" s="63" t="str">
        <f>IFERROR(INDEX(_Datos!G:G,MATCH(821,_Datos!$I:$I,0)),"")</f>
        <v/>
      </c>
      <c r="H828" s="66" t="str">
        <f>IFERROR(INDEX(_Datos!H:H,MATCH(821,_Datos!$I:$I,0)),"")</f>
        <v/>
      </c>
    </row>
    <row r="829" spans="1:8" x14ac:dyDescent="0.2">
      <c r="A829" s="67" t="str">
        <f>IFERROR(INDEX(_Datos!A:A,MATCH(822,_Datos!$I:$I,0)),"")</f>
        <v/>
      </c>
      <c r="B829" s="67" t="str">
        <f>IFERROR(INDEX(_Datos!B:B,MATCH(822,_Datos!$I:$I,0)),"")</f>
        <v/>
      </c>
      <c r="C829" s="67" t="str">
        <f>IFERROR(INDEX(_Datos!C:C,MATCH(822,_Datos!$I:$I,0)),"")</f>
        <v/>
      </c>
      <c r="D829" s="68" t="str">
        <f>IFERROR(INDEX(_Datos!D:D,MATCH(822,_Datos!$I:$I,0)),"")</f>
        <v/>
      </c>
      <c r="E829" s="69" t="str">
        <f>IFERROR(INDEX(_Datos!E:E,MATCH(822,_Datos!$I:$I,0)),"")</f>
        <v/>
      </c>
      <c r="F829" s="67" t="str">
        <f>IFERROR(INDEX(_Datos!F:F,MATCH(822,_Datos!$I:$I,0)),"")</f>
        <v/>
      </c>
      <c r="G829" s="67" t="str">
        <f>IFERROR(INDEX(_Datos!G:G,MATCH(822,_Datos!$I:$I,0)),"")</f>
        <v/>
      </c>
      <c r="H829" s="70" t="str">
        <f>IFERROR(INDEX(_Datos!H:H,MATCH(822,_Datos!$I:$I,0)),"")</f>
        <v/>
      </c>
    </row>
    <row r="830" spans="1:8" x14ac:dyDescent="0.2">
      <c r="A830" s="63" t="str">
        <f>IFERROR(INDEX(_Datos!A:A,MATCH(823,_Datos!$I:$I,0)),"")</f>
        <v/>
      </c>
      <c r="B830" s="63" t="str">
        <f>IFERROR(INDEX(_Datos!B:B,MATCH(823,_Datos!$I:$I,0)),"")</f>
        <v/>
      </c>
      <c r="C830" s="63" t="str">
        <f>IFERROR(INDEX(_Datos!C:C,MATCH(823,_Datos!$I:$I,0)),"")</f>
        <v/>
      </c>
      <c r="D830" s="64" t="str">
        <f>IFERROR(INDEX(_Datos!D:D,MATCH(823,_Datos!$I:$I,0)),"")</f>
        <v/>
      </c>
      <c r="E830" s="65" t="str">
        <f>IFERROR(INDEX(_Datos!E:E,MATCH(823,_Datos!$I:$I,0)),"")</f>
        <v/>
      </c>
      <c r="F830" s="63" t="str">
        <f>IFERROR(INDEX(_Datos!F:F,MATCH(823,_Datos!$I:$I,0)),"")</f>
        <v/>
      </c>
      <c r="G830" s="63" t="str">
        <f>IFERROR(INDEX(_Datos!G:G,MATCH(823,_Datos!$I:$I,0)),"")</f>
        <v/>
      </c>
      <c r="H830" s="66" t="str">
        <f>IFERROR(INDEX(_Datos!H:H,MATCH(823,_Datos!$I:$I,0)),"")</f>
        <v/>
      </c>
    </row>
    <row r="831" spans="1:8" x14ac:dyDescent="0.2">
      <c r="A831" s="67" t="str">
        <f>IFERROR(INDEX(_Datos!A:A,MATCH(824,_Datos!$I:$I,0)),"")</f>
        <v/>
      </c>
      <c r="B831" s="67" t="str">
        <f>IFERROR(INDEX(_Datos!B:B,MATCH(824,_Datos!$I:$I,0)),"")</f>
        <v/>
      </c>
      <c r="C831" s="67" t="str">
        <f>IFERROR(INDEX(_Datos!C:C,MATCH(824,_Datos!$I:$I,0)),"")</f>
        <v/>
      </c>
      <c r="D831" s="68" t="str">
        <f>IFERROR(INDEX(_Datos!D:D,MATCH(824,_Datos!$I:$I,0)),"")</f>
        <v/>
      </c>
      <c r="E831" s="69" t="str">
        <f>IFERROR(INDEX(_Datos!E:E,MATCH(824,_Datos!$I:$I,0)),"")</f>
        <v/>
      </c>
      <c r="F831" s="67" t="str">
        <f>IFERROR(INDEX(_Datos!F:F,MATCH(824,_Datos!$I:$I,0)),"")</f>
        <v/>
      </c>
      <c r="G831" s="67" t="str">
        <f>IFERROR(INDEX(_Datos!G:G,MATCH(824,_Datos!$I:$I,0)),"")</f>
        <v/>
      </c>
      <c r="H831" s="70" t="str">
        <f>IFERROR(INDEX(_Datos!H:H,MATCH(824,_Datos!$I:$I,0)),"")</f>
        <v/>
      </c>
    </row>
    <row r="832" spans="1:8" x14ac:dyDescent="0.2">
      <c r="A832" s="63" t="str">
        <f>IFERROR(INDEX(_Datos!A:A,MATCH(825,_Datos!$I:$I,0)),"")</f>
        <v/>
      </c>
      <c r="B832" s="63" t="str">
        <f>IFERROR(INDEX(_Datos!B:B,MATCH(825,_Datos!$I:$I,0)),"")</f>
        <v/>
      </c>
      <c r="C832" s="63" t="str">
        <f>IFERROR(INDEX(_Datos!C:C,MATCH(825,_Datos!$I:$I,0)),"")</f>
        <v/>
      </c>
      <c r="D832" s="64" t="str">
        <f>IFERROR(INDEX(_Datos!D:D,MATCH(825,_Datos!$I:$I,0)),"")</f>
        <v/>
      </c>
      <c r="E832" s="65" t="str">
        <f>IFERROR(INDEX(_Datos!E:E,MATCH(825,_Datos!$I:$I,0)),"")</f>
        <v/>
      </c>
      <c r="F832" s="63" t="str">
        <f>IFERROR(INDEX(_Datos!F:F,MATCH(825,_Datos!$I:$I,0)),"")</f>
        <v/>
      </c>
      <c r="G832" s="63" t="str">
        <f>IFERROR(INDEX(_Datos!G:G,MATCH(825,_Datos!$I:$I,0)),"")</f>
        <v/>
      </c>
      <c r="H832" s="66" t="str">
        <f>IFERROR(INDEX(_Datos!H:H,MATCH(825,_Datos!$I:$I,0)),"")</f>
        <v/>
      </c>
    </row>
    <row r="833" spans="1:8" x14ac:dyDescent="0.2">
      <c r="A833" s="67" t="str">
        <f>IFERROR(INDEX(_Datos!A:A,MATCH(826,_Datos!$I:$I,0)),"")</f>
        <v/>
      </c>
      <c r="B833" s="67" t="str">
        <f>IFERROR(INDEX(_Datos!B:B,MATCH(826,_Datos!$I:$I,0)),"")</f>
        <v/>
      </c>
      <c r="C833" s="67" t="str">
        <f>IFERROR(INDEX(_Datos!C:C,MATCH(826,_Datos!$I:$I,0)),"")</f>
        <v/>
      </c>
      <c r="D833" s="68" t="str">
        <f>IFERROR(INDEX(_Datos!D:D,MATCH(826,_Datos!$I:$I,0)),"")</f>
        <v/>
      </c>
      <c r="E833" s="69" t="str">
        <f>IFERROR(INDEX(_Datos!E:E,MATCH(826,_Datos!$I:$I,0)),"")</f>
        <v/>
      </c>
      <c r="F833" s="67" t="str">
        <f>IFERROR(INDEX(_Datos!F:F,MATCH(826,_Datos!$I:$I,0)),"")</f>
        <v/>
      </c>
      <c r="G833" s="67" t="str">
        <f>IFERROR(INDEX(_Datos!G:G,MATCH(826,_Datos!$I:$I,0)),"")</f>
        <v/>
      </c>
      <c r="H833" s="70" t="str">
        <f>IFERROR(INDEX(_Datos!H:H,MATCH(826,_Datos!$I:$I,0)),"")</f>
        <v/>
      </c>
    </row>
    <row r="834" spans="1:8" x14ac:dyDescent="0.2">
      <c r="A834" s="63" t="str">
        <f>IFERROR(INDEX(_Datos!A:A,MATCH(827,_Datos!$I:$I,0)),"")</f>
        <v/>
      </c>
      <c r="B834" s="63" t="str">
        <f>IFERROR(INDEX(_Datos!B:B,MATCH(827,_Datos!$I:$I,0)),"")</f>
        <v/>
      </c>
      <c r="C834" s="63" t="str">
        <f>IFERROR(INDEX(_Datos!C:C,MATCH(827,_Datos!$I:$I,0)),"")</f>
        <v/>
      </c>
      <c r="D834" s="64" t="str">
        <f>IFERROR(INDEX(_Datos!D:D,MATCH(827,_Datos!$I:$I,0)),"")</f>
        <v/>
      </c>
      <c r="E834" s="65" t="str">
        <f>IFERROR(INDEX(_Datos!E:E,MATCH(827,_Datos!$I:$I,0)),"")</f>
        <v/>
      </c>
      <c r="F834" s="63" t="str">
        <f>IFERROR(INDEX(_Datos!F:F,MATCH(827,_Datos!$I:$I,0)),"")</f>
        <v/>
      </c>
      <c r="G834" s="63" t="str">
        <f>IFERROR(INDEX(_Datos!G:G,MATCH(827,_Datos!$I:$I,0)),"")</f>
        <v/>
      </c>
      <c r="H834" s="66" t="str">
        <f>IFERROR(INDEX(_Datos!H:H,MATCH(827,_Datos!$I:$I,0)),"")</f>
        <v/>
      </c>
    </row>
    <row r="835" spans="1:8" x14ac:dyDescent="0.2">
      <c r="A835" s="67" t="str">
        <f>IFERROR(INDEX(_Datos!A:A,MATCH(828,_Datos!$I:$I,0)),"")</f>
        <v/>
      </c>
      <c r="B835" s="67" t="str">
        <f>IFERROR(INDEX(_Datos!B:B,MATCH(828,_Datos!$I:$I,0)),"")</f>
        <v/>
      </c>
      <c r="C835" s="67" t="str">
        <f>IFERROR(INDEX(_Datos!C:C,MATCH(828,_Datos!$I:$I,0)),"")</f>
        <v/>
      </c>
      <c r="D835" s="68" t="str">
        <f>IFERROR(INDEX(_Datos!D:D,MATCH(828,_Datos!$I:$I,0)),"")</f>
        <v/>
      </c>
      <c r="E835" s="69" t="str">
        <f>IFERROR(INDEX(_Datos!E:E,MATCH(828,_Datos!$I:$I,0)),"")</f>
        <v/>
      </c>
      <c r="F835" s="67" t="str">
        <f>IFERROR(INDEX(_Datos!F:F,MATCH(828,_Datos!$I:$I,0)),"")</f>
        <v/>
      </c>
      <c r="G835" s="67" t="str">
        <f>IFERROR(INDEX(_Datos!G:G,MATCH(828,_Datos!$I:$I,0)),"")</f>
        <v/>
      </c>
      <c r="H835" s="70" t="str">
        <f>IFERROR(INDEX(_Datos!H:H,MATCH(828,_Datos!$I:$I,0)),"")</f>
        <v/>
      </c>
    </row>
    <row r="836" spans="1:8" x14ac:dyDescent="0.2">
      <c r="A836" s="63" t="str">
        <f>IFERROR(INDEX(_Datos!A:A,MATCH(829,_Datos!$I:$I,0)),"")</f>
        <v/>
      </c>
      <c r="B836" s="63" t="str">
        <f>IFERROR(INDEX(_Datos!B:B,MATCH(829,_Datos!$I:$I,0)),"")</f>
        <v/>
      </c>
      <c r="C836" s="63" t="str">
        <f>IFERROR(INDEX(_Datos!C:C,MATCH(829,_Datos!$I:$I,0)),"")</f>
        <v/>
      </c>
      <c r="D836" s="64" t="str">
        <f>IFERROR(INDEX(_Datos!D:D,MATCH(829,_Datos!$I:$I,0)),"")</f>
        <v/>
      </c>
      <c r="E836" s="65" t="str">
        <f>IFERROR(INDEX(_Datos!E:E,MATCH(829,_Datos!$I:$I,0)),"")</f>
        <v/>
      </c>
      <c r="F836" s="63" t="str">
        <f>IFERROR(INDEX(_Datos!F:F,MATCH(829,_Datos!$I:$I,0)),"")</f>
        <v/>
      </c>
      <c r="G836" s="63" t="str">
        <f>IFERROR(INDEX(_Datos!G:G,MATCH(829,_Datos!$I:$I,0)),"")</f>
        <v/>
      </c>
      <c r="H836" s="66" t="str">
        <f>IFERROR(INDEX(_Datos!H:H,MATCH(829,_Datos!$I:$I,0)),"")</f>
        <v/>
      </c>
    </row>
    <row r="837" spans="1:8" x14ac:dyDescent="0.2">
      <c r="A837" s="67" t="str">
        <f>IFERROR(INDEX(_Datos!A:A,MATCH(830,_Datos!$I:$I,0)),"")</f>
        <v/>
      </c>
      <c r="B837" s="67" t="str">
        <f>IFERROR(INDEX(_Datos!B:B,MATCH(830,_Datos!$I:$I,0)),"")</f>
        <v/>
      </c>
      <c r="C837" s="67" t="str">
        <f>IFERROR(INDEX(_Datos!C:C,MATCH(830,_Datos!$I:$I,0)),"")</f>
        <v/>
      </c>
      <c r="D837" s="68" t="str">
        <f>IFERROR(INDEX(_Datos!D:D,MATCH(830,_Datos!$I:$I,0)),"")</f>
        <v/>
      </c>
      <c r="E837" s="69" t="str">
        <f>IFERROR(INDEX(_Datos!E:E,MATCH(830,_Datos!$I:$I,0)),"")</f>
        <v/>
      </c>
      <c r="F837" s="67" t="str">
        <f>IFERROR(INDEX(_Datos!F:F,MATCH(830,_Datos!$I:$I,0)),"")</f>
        <v/>
      </c>
      <c r="G837" s="67" t="str">
        <f>IFERROR(INDEX(_Datos!G:G,MATCH(830,_Datos!$I:$I,0)),"")</f>
        <v/>
      </c>
      <c r="H837" s="70" t="str">
        <f>IFERROR(INDEX(_Datos!H:H,MATCH(830,_Datos!$I:$I,0)),"")</f>
        <v/>
      </c>
    </row>
    <row r="838" spans="1:8" x14ac:dyDescent="0.2">
      <c r="A838" s="63" t="str">
        <f>IFERROR(INDEX(_Datos!A:A,MATCH(831,_Datos!$I:$I,0)),"")</f>
        <v/>
      </c>
      <c r="B838" s="63" t="str">
        <f>IFERROR(INDEX(_Datos!B:B,MATCH(831,_Datos!$I:$I,0)),"")</f>
        <v/>
      </c>
      <c r="C838" s="63" t="str">
        <f>IFERROR(INDEX(_Datos!C:C,MATCH(831,_Datos!$I:$I,0)),"")</f>
        <v/>
      </c>
      <c r="D838" s="64" t="str">
        <f>IFERROR(INDEX(_Datos!D:D,MATCH(831,_Datos!$I:$I,0)),"")</f>
        <v/>
      </c>
      <c r="E838" s="65" t="str">
        <f>IFERROR(INDEX(_Datos!E:E,MATCH(831,_Datos!$I:$I,0)),"")</f>
        <v/>
      </c>
      <c r="F838" s="63" t="str">
        <f>IFERROR(INDEX(_Datos!F:F,MATCH(831,_Datos!$I:$I,0)),"")</f>
        <v/>
      </c>
      <c r="G838" s="63" t="str">
        <f>IFERROR(INDEX(_Datos!G:G,MATCH(831,_Datos!$I:$I,0)),"")</f>
        <v/>
      </c>
      <c r="H838" s="66" t="str">
        <f>IFERROR(INDEX(_Datos!H:H,MATCH(831,_Datos!$I:$I,0)),"")</f>
        <v/>
      </c>
    </row>
    <row r="839" spans="1:8" x14ac:dyDescent="0.2">
      <c r="A839" s="67" t="str">
        <f>IFERROR(INDEX(_Datos!A:A,MATCH(832,_Datos!$I:$I,0)),"")</f>
        <v/>
      </c>
      <c r="B839" s="67" t="str">
        <f>IFERROR(INDEX(_Datos!B:B,MATCH(832,_Datos!$I:$I,0)),"")</f>
        <v/>
      </c>
      <c r="C839" s="67" t="str">
        <f>IFERROR(INDEX(_Datos!C:C,MATCH(832,_Datos!$I:$I,0)),"")</f>
        <v/>
      </c>
      <c r="D839" s="68" t="str">
        <f>IFERROR(INDEX(_Datos!D:D,MATCH(832,_Datos!$I:$I,0)),"")</f>
        <v/>
      </c>
      <c r="E839" s="69" t="str">
        <f>IFERROR(INDEX(_Datos!E:E,MATCH(832,_Datos!$I:$I,0)),"")</f>
        <v/>
      </c>
      <c r="F839" s="67" t="str">
        <f>IFERROR(INDEX(_Datos!F:F,MATCH(832,_Datos!$I:$I,0)),"")</f>
        <v/>
      </c>
      <c r="G839" s="67" t="str">
        <f>IFERROR(INDEX(_Datos!G:G,MATCH(832,_Datos!$I:$I,0)),"")</f>
        <v/>
      </c>
      <c r="H839" s="70" t="str">
        <f>IFERROR(INDEX(_Datos!H:H,MATCH(832,_Datos!$I:$I,0)),"")</f>
        <v/>
      </c>
    </row>
    <row r="840" spans="1:8" x14ac:dyDescent="0.2">
      <c r="A840" s="63" t="str">
        <f>IFERROR(INDEX(_Datos!A:A,MATCH(833,_Datos!$I:$I,0)),"")</f>
        <v/>
      </c>
      <c r="B840" s="63" t="str">
        <f>IFERROR(INDEX(_Datos!B:B,MATCH(833,_Datos!$I:$I,0)),"")</f>
        <v/>
      </c>
      <c r="C840" s="63" t="str">
        <f>IFERROR(INDEX(_Datos!C:C,MATCH(833,_Datos!$I:$I,0)),"")</f>
        <v/>
      </c>
      <c r="D840" s="64" t="str">
        <f>IFERROR(INDEX(_Datos!D:D,MATCH(833,_Datos!$I:$I,0)),"")</f>
        <v/>
      </c>
      <c r="E840" s="65" t="str">
        <f>IFERROR(INDEX(_Datos!E:E,MATCH(833,_Datos!$I:$I,0)),"")</f>
        <v/>
      </c>
      <c r="F840" s="63" t="str">
        <f>IFERROR(INDEX(_Datos!F:F,MATCH(833,_Datos!$I:$I,0)),"")</f>
        <v/>
      </c>
      <c r="G840" s="63" t="str">
        <f>IFERROR(INDEX(_Datos!G:G,MATCH(833,_Datos!$I:$I,0)),"")</f>
        <v/>
      </c>
      <c r="H840" s="66" t="str">
        <f>IFERROR(INDEX(_Datos!H:H,MATCH(833,_Datos!$I:$I,0)),"")</f>
        <v/>
      </c>
    </row>
    <row r="841" spans="1:8" x14ac:dyDescent="0.2">
      <c r="A841" s="67" t="str">
        <f>IFERROR(INDEX(_Datos!A:A,MATCH(834,_Datos!$I:$I,0)),"")</f>
        <v/>
      </c>
      <c r="B841" s="67" t="str">
        <f>IFERROR(INDEX(_Datos!B:B,MATCH(834,_Datos!$I:$I,0)),"")</f>
        <v/>
      </c>
      <c r="C841" s="67" t="str">
        <f>IFERROR(INDEX(_Datos!C:C,MATCH(834,_Datos!$I:$I,0)),"")</f>
        <v/>
      </c>
      <c r="D841" s="68" t="str">
        <f>IFERROR(INDEX(_Datos!D:D,MATCH(834,_Datos!$I:$I,0)),"")</f>
        <v/>
      </c>
      <c r="E841" s="69" t="str">
        <f>IFERROR(INDEX(_Datos!E:E,MATCH(834,_Datos!$I:$I,0)),"")</f>
        <v/>
      </c>
      <c r="F841" s="67" t="str">
        <f>IFERROR(INDEX(_Datos!F:F,MATCH(834,_Datos!$I:$I,0)),"")</f>
        <v/>
      </c>
      <c r="G841" s="67" t="str">
        <f>IFERROR(INDEX(_Datos!G:G,MATCH(834,_Datos!$I:$I,0)),"")</f>
        <v/>
      </c>
      <c r="H841" s="70" t="str">
        <f>IFERROR(INDEX(_Datos!H:H,MATCH(834,_Datos!$I:$I,0)),"")</f>
        <v/>
      </c>
    </row>
    <row r="842" spans="1:8" x14ac:dyDescent="0.2">
      <c r="A842" s="63" t="str">
        <f>IFERROR(INDEX(_Datos!A:A,MATCH(835,_Datos!$I:$I,0)),"")</f>
        <v/>
      </c>
      <c r="B842" s="63" t="str">
        <f>IFERROR(INDEX(_Datos!B:B,MATCH(835,_Datos!$I:$I,0)),"")</f>
        <v/>
      </c>
      <c r="C842" s="63" t="str">
        <f>IFERROR(INDEX(_Datos!C:C,MATCH(835,_Datos!$I:$I,0)),"")</f>
        <v/>
      </c>
      <c r="D842" s="64" t="str">
        <f>IFERROR(INDEX(_Datos!D:D,MATCH(835,_Datos!$I:$I,0)),"")</f>
        <v/>
      </c>
      <c r="E842" s="65" t="str">
        <f>IFERROR(INDEX(_Datos!E:E,MATCH(835,_Datos!$I:$I,0)),"")</f>
        <v/>
      </c>
      <c r="F842" s="63" t="str">
        <f>IFERROR(INDEX(_Datos!F:F,MATCH(835,_Datos!$I:$I,0)),"")</f>
        <v/>
      </c>
      <c r="G842" s="63" t="str">
        <f>IFERROR(INDEX(_Datos!G:G,MATCH(835,_Datos!$I:$I,0)),"")</f>
        <v/>
      </c>
      <c r="H842" s="66" t="str">
        <f>IFERROR(INDEX(_Datos!H:H,MATCH(835,_Datos!$I:$I,0)),"")</f>
        <v/>
      </c>
    </row>
    <row r="843" spans="1:8" x14ac:dyDescent="0.2">
      <c r="A843" s="67" t="str">
        <f>IFERROR(INDEX(_Datos!A:A,MATCH(836,_Datos!$I:$I,0)),"")</f>
        <v/>
      </c>
      <c r="B843" s="67" t="str">
        <f>IFERROR(INDEX(_Datos!B:B,MATCH(836,_Datos!$I:$I,0)),"")</f>
        <v/>
      </c>
      <c r="C843" s="67" t="str">
        <f>IFERROR(INDEX(_Datos!C:C,MATCH(836,_Datos!$I:$I,0)),"")</f>
        <v/>
      </c>
      <c r="D843" s="68" t="str">
        <f>IFERROR(INDEX(_Datos!D:D,MATCH(836,_Datos!$I:$I,0)),"")</f>
        <v/>
      </c>
      <c r="E843" s="69" t="str">
        <f>IFERROR(INDEX(_Datos!E:E,MATCH(836,_Datos!$I:$I,0)),"")</f>
        <v/>
      </c>
      <c r="F843" s="67" t="str">
        <f>IFERROR(INDEX(_Datos!F:F,MATCH(836,_Datos!$I:$I,0)),"")</f>
        <v/>
      </c>
      <c r="G843" s="67" t="str">
        <f>IFERROR(INDEX(_Datos!G:G,MATCH(836,_Datos!$I:$I,0)),"")</f>
        <v/>
      </c>
      <c r="H843" s="70" t="str">
        <f>IFERROR(INDEX(_Datos!H:H,MATCH(836,_Datos!$I:$I,0)),"")</f>
        <v/>
      </c>
    </row>
    <row r="844" spans="1:8" x14ac:dyDescent="0.2">
      <c r="A844" s="63" t="str">
        <f>IFERROR(INDEX(_Datos!A:A,MATCH(837,_Datos!$I:$I,0)),"")</f>
        <v/>
      </c>
      <c r="B844" s="63" t="str">
        <f>IFERROR(INDEX(_Datos!B:B,MATCH(837,_Datos!$I:$I,0)),"")</f>
        <v/>
      </c>
      <c r="C844" s="63" t="str">
        <f>IFERROR(INDEX(_Datos!C:C,MATCH(837,_Datos!$I:$I,0)),"")</f>
        <v/>
      </c>
      <c r="D844" s="64" t="str">
        <f>IFERROR(INDEX(_Datos!D:D,MATCH(837,_Datos!$I:$I,0)),"")</f>
        <v/>
      </c>
      <c r="E844" s="65" t="str">
        <f>IFERROR(INDEX(_Datos!E:E,MATCH(837,_Datos!$I:$I,0)),"")</f>
        <v/>
      </c>
      <c r="F844" s="63" t="str">
        <f>IFERROR(INDEX(_Datos!F:F,MATCH(837,_Datos!$I:$I,0)),"")</f>
        <v/>
      </c>
      <c r="G844" s="63" t="str">
        <f>IFERROR(INDEX(_Datos!G:G,MATCH(837,_Datos!$I:$I,0)),"")</f>
        <v/>
      </c>
      <c r="H844" s="66" t="str">
        <f>IFERROR(INDEX(_Datos!H:H,MATCH(837,_Datos!$I:$I,0)),"")</f>
        <v/>
      </c>
    </row>
    <row r="845" spans="1:8" x14ac:dyDescent="0.2">
      <c r="A845" s="67" t="str">
        <f>IFERROR(INDEX(_Datos!A:A,MATCH(838,_Datos!$I:$I,0)),"")</f>
        <v/>
      </c>
      <c r="B845" s="67" t="str">
        <f>IFERROR(INDEX(_Datos!B:B,MATCH(838,_Datos!$I:$I,0)),"")</f>
        <v/>
      </c>
      <c r="C845" s="67" t="str">
        <f>IFERROR(INDEX(_Datos!C:C,MATCH(838,_Datos!$I:$I,0)),"")</f>
        <v/>
      </c>
      <c r="D845" s="68" t="str">
        <f>IFERROR(INDEX(_Datos!D:D,MATCH(838,_Datos!$I:$I,0)),"")</f>
        <v/>
      </c>
      <c r="E845" s="69" t="str">
        <f>IFERROR(INDEX(_Datos!E:E,MATCH(838,_Datos!$I:$I,0)),"")</f>
        <v/>
      </c>
      <c r="F845" s="67" t="str">
        <f>IFERROR(INDEX(_Datos!F:F,MATCH(838,_Datos!$I:$I,0)),"")</f>
        <v/>
      </c>
      <c r="G845" s="67" t="str">
        <f>IFERROR(INDEX(_Datos!G:G,MATCH(838,_Datos!$I:$I,0)),"")</f>
        <v/>
      </c>
      <c r="H845" s="70" t="str">
        <f>IFERROR(INDEX(_Datos!H:H,MATCH(838,_Datos!$I:$I,0)),"")</f>
        <v/>
      </c>
    </row>
    <row r="846" spans="1:8" x14ac:dyDescent="0.2">
      <c r="A846" s="63" t="str">
        <f>IFERROR(INDEX(_Datos!A:A,MATCH(839,_Datos!$I:$I,0)),"")</f>
        <v/>
      </c>
      <c r="B846" s="63" t="str">
        <f>IFERROR(INDEX(_Datos!B:B,MATCH(839,_Datos!$I:$I,0)),"")</f>
        <v/>
      </c>
      <c r="C846" s="63" t="str">
        <f>IFERROR(INDEX(_Datos!C:C,MATCH(839,_Datos!$I:$I,0)),"")</f>
        <v/>
      </c>
      <c r="D846" s="64" t="str">
        <f>IFERROR(INDEX(_Datos!D:D,MATCH(839,_Datos!$I:$I,0)),"")</f>
        <v/>
      </c>
      <c r="E846" s="65" t="str">
        <f>IFERROR(INDEX(_Datos!E:E,MATCH(839,_Datos!$I:$I,0)),"")</f>
        <v/>
      </c>
      <c r="F846" s="63" t="str">
        <f>IFERROR(INDEX(_Datos!F:F,MATCH(839,_Datos!$I:$I,0)),"")</f>
        <v/>
      </c>
      <c r="G846" s="63" t="str">
        <f>IFERROR(INDEX(_Datos!G:G,MATCH(839,_Datos!$I:$I,0)),"")</f>
        <v/>
      </c>
      <c r="H846" s="66" t="str">
        <f>IFERROR(INDEX(_Datos!H:H,MATCH(839,_Datos!$I:$I,0)),"")</f>
        <v/>
      </c>
    </row>
    <row r="847" spans="1:8" x14ac:dyDescent="0.2">
      <c r="A847" s="67" t="str">
        <f>IFERROR(INDEX(_Datos!A:A,MATCH(840,_Datos!$I:$I,0)),"")</f>
        <v/>
      </c>
      <c r="B847" s="67" t="str">
        <f>IFERROR(INDEX(_Datos!B:B,MATCH(840,_Datos!$I:$I,0)),"")</f>
        <v/>
      </c>
      <c r="C847" s="67" t="str">
        <f>IFERROR(INDEX(_Datos!C:C,MATCH(840,_Datos!$I:$I,0)),"")</f>
        <v/>
      </c>
      <c r="D847" s="68" t="str">
        <f>IFERROR(INDEX(_Datos!D:D,MATCH(840,_Datos!$I:$I,0)),"")</f>
        <v/>
      </c>
      <c r="E847" s="69" t="str">
        <f>IFERROR(INDEX(_Datos!E:E,MATCH(840,_Datos!$I:$I,0)),"")</f>
        <v/>
      </c>
      <c r="F847" s="67" t="str">
        <f>IFERROR(INDEX(_Datos!F:F,MATCH(840,_Datos!$I:$I,0)),"")</f>
        <v/>
      </c>
      <c r="G847" s="67" t="str">
        <f>IFERROR(INDEX(_Datos!G:G,MATCH(840,_Datos!$I:$I,0)),"")</f>
        <v/>
      </c>
      <c r="H847" s="70" t="str">
        <f>IFERROR(INDEX(_Datos!H:H,MATCH(840,_Datos!$I:$I,0)),"")</f>
        <v/>
      </c>
    </row>
    <row r="848" spans="1:8" x14ac:dyDescent="0.2">
      <c r="A848" s="63" t="str">
        <f>IFERROR(INDEX(_Datos!A:A,MATCH(841,_Datos!$I:$I,0)),"")</f>
        <v/>
      </c>
      <c r="B848" s="63" t="str">
        <f>IFERROR(INDEX(_Datos!B:B,MATCH(841,_Datos!$I:$I,0)),"")</f>
        <v/>
      </c>
      <c r="C848" s="63" t="str">
        <f>IFERROR(INDEX(_Datos!C:C,MATCH(841,_Datos!$I:$I,0)),"")</f>
        <v/>
      </c>
      <c r="D848" s="64" t="str">
        <f>IFERROR(INDEX(_Datos!D:D,MATCH(841,_Datos!$I:$I,0)),"")</f>
        <v/>
      </c>
      <c r="E848" s="65" t="str">
        <f>IFERROR(INDEX(_Datos!E:E,MATCH(841,_Datos!$I:$I,0)),"")</f>
        <v/>
      </c>
      <c r="F848" s="63" t="str">
        <f>IFERROR(INDEX(_Datos!F:F,MATCH(841,_Datos!$I:$I,0)),"")</f>
        <v/>
      </c>
      <c r="G848" s="63" t="str">
        <f>IFERROR(INDEX(_Datos!G:G,MATCH(841,_Datos!$I:$I,0)),"")</f>
        <v/>
      </c>
      <c r="H848" s="66" t="str">
        <f>IFERROR(INDEX(_Datos!H:H,MATCH(841,_Datos!$I:$I,0)),"")</f>
        <v/>
      </c>
    </row>
    <row r="849" spans="1:8" x14ac:dyDescent="0.2">
      <c r="A849" s="67" t="str">
        <f>IFERROR(INDEX(_Datos!A:A,MATCH(842,_Datos!$I:$I,0)),"")</f>
        <v/>
      </c>
      <c r="B849" s="67" t="str">
        <f>IFERROR(INDEX(_Datos!B:B,MATCH(842,_Datos!$I:$I,0)),"")</f>
        <v/>
      </c>
      <c r="C849" s="67" t="str">
        <f>IFERROR(INDEX(_Datos!C:C,MATCH(842,_Datos!$I:$I,0)),"")</f>
        <v/>
      </c>
      <c r="D849" s="68" t="str">
        <f>IFERROR(INDEX(_Datos!D:D,MATCH(842,_Datos!$I:$I,0)),"")</f>
        <v/>
      </c>
      <c r="E849" s="69" t="str">
        <f>IFERROR(INDEX(_Datos!E:E,MATCH(842,_Datos!$I:$I,0)),"")</f>
        <v/>
      </c>
      <c r="F849" s="67" t="str">
        <f>IFERROR(INDEX(_Datos!F:F,MATCH(842,_Datos!$I:$I,0)),"")</f>
        <v/>
      </c>
      <c r="G849" s="67" t="str">
        <f>IFERROR(INDEX(_Datos!G:G,MATCH(842,_Datos!$I:$I,0)),"")</f>
        <v/>
      </c>
      <c r="H849" s="70" t="str">
        <f>IFERROR(INDEX(_Datos!H:H,MATCH(842,_Datos!$I:$I,0)),"")</f>
        <v/>
      </c>
    </row>
    <row r="850" spans="1:8" x14ac:dyDescent="0.2">
      <c r="A850" s="63" t="str">
        <f>IFERROR(INDEX(_Datos!A:A,MATCH(843,_Datos!$I:$I,0)),"")</f>
        <v/>
      </c>
      <c r="B850" s="63" t="str">
        <f>IFERROR(INDEX(_Datos!B:B,MATCH(843,_Datos!$I:$I,0)),"")</f>
        <v/>
      </c>
      <c r="C850" s="63" t="str">
        <f>IFERROR(INDEX(_Datos!C:C,MATCH(843,_Datos!$I:$I,0)),"")</f>
        <v/>
      </c>
      <c r="D850" s="64" t="str">
        <f>IFERROR(INDEX(_Datos!D:D,MATCH(843,_Datos!$I:$I,0)),"")</f>
        <v/>
      </c>
      <c r="E850" s="65" t="str">
        <f>IFERROR(INDEX(_Datos!E:E,MATCH(843,_Datos!$I:$I,0)),"")</f>
        <v/>
      </c>
      <c r="F850" s="63" t="str">
        <f>IFERROR(INDEX(_Datos!F:F,MATCH(843,_Datos!$I:$I,0)),"")</f>
        <v/>
      </c>
      <c r="G850" s="63" t="str">
        <f>IFERROR(INDEX(_Datos!G:G,MATCH(843,_Datos!$I:$I,0)),"")</f>
        <v/>
      </c>
      <c r="H850" s="66" t="str">
        <f>IFERROR(INDEX(_Datos!H:H,MATCH(843,_Datos!$I:$I,0)),"")</f>
        <v/>
      </c>
    </row>
    <row r="851" spans="1:8" x14ac:dyDescent="0.2">
      <c r="A851" s="67" t="str">
        <f>IFERROR(INDEX(_Datos!A:A,MATCH(844,_Datos!$I:$I,0)),"")</f>
        <v/>
      </c>
      <c r="B851" s="67" t="str">
        <f>IFERROR(INDEX(_Datos!B:B,MATCH(844,_Datos!$I:$I,0)),"")</f>
        <v/>
      </c>
      <c r="C851" s="67" t="str">
        <f>IFERROR(INDEX(_Datos!C:C,MATCH(844,_Datos!$I:$I,0)),"")</f>
        <v/>
      </c>
      <c r="D851" s="68" t="str">
        <f>IFERROR(INDEX(_Datos!D:D,MATCH(844,_Datos!$I:$I,0)),"")</f>
        <v/>
      </c>
      <c r="E851" s="69" t="str">
        <f>IFERROR(INDEX(_Datos!E:E,MATCH(844,_Datos!$I:$I,0)),"")</f>
        <v/>
      </c>
      <c r="F851" s="67" t="str">
        <f>IFERROR(INDEX(_Datos!F:F,MATCH(844,_Datos!$I:$I,0)),"")</f>
        <v/>
      </c>
      <c r="G851" s="67" t="str">
        <f>IFERROR(INDEX(_Datos!G:G,MATCH(844,_Datos!$I:$I,0)),"")</f>
        <v/>
      </c>
      <c r="H851" s="70" t="str">
        <f>IFERROR(INDEX(_Datos!H:H,MATCH(844,_Datos!$I:$I,0)),"")</f>
        <v/>
      </c>
    </row>
    <row r="852" spans="1:8" x14ac:dyDescent="0.2">
      <c r="A852" s="63" t="str">
        <f>IFERROR(INDEX(_Datos!A:A,MATCH(845,_Datos!$I:$I,0)),"")</f>
        <v/>
      </c>
      <c r="B852" s="63" t="str">
        <f>IFERROR(INDEX(_Datos!B:B,MATCH(845,_Datos!$I:$I,0)),"")</f>
        <v/>
      </c>
      <c r="C852" s="63" t="str">
        <f>IFERROR(INDEX(_Datos!C:C,MATCH(845,_Datos!$I:$I,0)),"")</f>
        <v/>
      </c>
      <c r="D852" s="64" t="str">
        <f>IFERROR(INDEX(_Datos!D:D,MATCH(845,_Datos!$I:$I,0)),"")</f>
        <v/>
      </c>
      <c r="E852" s="65" t="str">
        <f>IFERROR(INDEX(_Datos!E:E,MATCH(845,_Datos!$I:$I,0)),"")</f>
        <v/>
      </c>
      <c r="F852" s="63" t="str">
        <f>IFERROR(INDEX(_Datos!F:F,MATCH(845,_Datos!$I:$I,0)),"")</f>
        <v/>
      </c>
      <c r="G852" s="63" t="str">
        <f>IFERROR(INDEX(_Datos!G:G,MATCH(845,_Datos!$I:$I,0)),"")</f>
        <v/>
      </c>
      <c r="H852" s="66" t="str">
        <f>IFERROR(INDEX(_Datos!H:H,MATCH(845,_Datos!$I:$I,0)),"")</f>
        <v/>
      </c>
    </row>
    <row r="853" spans="1:8" x14ac:dyDescent="0.2">
      <c r="A853" s="67" t="str">
        <f>IFERROR(INDEX(_Datos!A:A,MATCH(846,_Datos!$I:$I,0)),"")</f>
        <v/>
      </c>
      <c r="B853" s="67" t="str">
        <f>IFERROR(INDEX(_Datos!B:B,MATCH(846,_Datos!$I:$I,0)),"")</f>
        <v/>
      </c>
      <c r="C853" s="67" t="str">
        <f>IFERROR(INDEX(_Datos!C:C,MATCH(846,_Datos!$I:$I,0)),"")</f>
        <v/>
      </c>
      <c r="D853" s="68" t="str">
        <f>IFERROR(INDEX(_Datos!D:D,MATCH(846,_Datos!$I:$I,0)),"")</f>
        <v/>
      </c>
      <c r="E853" s="69" t="str">
        <f>IFERROR(INDEX(_Datos!E:E,MATCH(846,_Datos!$I:$I,0)),"")</f>
        <v/>
      </c>
      <c r="F853" s="67" t="str">
        <f>IFERROR(INDEX(_Datos!F:F,MATCH(846,_Datos!$I:$I,0)),"")</f>
        <v/>
      </c>
      <c r="G853" s="67" t="str">
        <f>IFERROR(INDEX(_Datos!G:G,MATCH(846,_Datos!$I:$I,0)),"")</f>
        <v/>
      </c>
      <c r="H853" s="70" t="str">
        <f>IFERROR(INDEX(_Datos!H:H,MATCH(846,_Datos!$I:$I,0)),"")</f>
        <v/>
      </c>
    </row>
    <row r="854" spans="1:8" x14ac:dyDescent="0.2">
      <c r="A854" s="63" t="str">
        <f>IFERROR(INDEX(_Datos!A:A,MATCH(847,_Datos!$I:$I,0)),"")</f>
        <v/>
      </c>
      <c r="B854" s="63" t="str">
        <f>IFERROR(INDEX(_Datos!B:B,MATCH(847,_Datos!$I:$I,0)),"")</f>
        <v/>
      </c>
      <c r="C854" s="63" t="str">
        <f>IFERROR(INDEX(_Datos!C:C,MATCH(847,_Datos!$I:$I,0)),"")</f>
        <v/>
      </c>
      <c r="D854" s="64" t="str">
        <f>IFERROR(INDEX(_Datos!D:D,MATCH(847,_Datos!$I:$I,0)),"")</f>
        <v/>
      </c>
      <c r="E854" s="65" t="str">
        <f>IFERROR(INDEX(_Datos!E:E,MATCH(847,_Datos!$I:$I,0)),"")</f>
        <v/>
      </c>
      <c r="F854" s="63" t="str">
        <f>IFERROR(INDEX(_Datos!F:F,MATCH(847,_Datos!$I:$I,0)),"")</f>
        <v/>
      </c>
      <c r="G854" s="63" t="str">
        <f>IFERROR(INDEX(_Datos!G:G,MATCH(847,_Datos!$I:$I,0)),"")</f>
        <v/>
      </c>
      <c r="H854" s="66" t="str">
        <f>IFERROR(INDEX(_Datos!H:H,MATCH(847,_Datos!$I:$I,0)),"")</f>
        <v/>
      </c>
    </row>
    <row r="855" spans="1:8" x14ac:dyDescent="0.2">
      <c r="A855" s="67" t="str">
        <f>IFERROR(INDEX(_Datos!A:A,MATCH(848,_Datos!$I:$I,0)),"")</f>
        <v/>
      </c>
      <c r="B855" s="67" t="str">
        <f>IFERROR(INDEX(_Datos!B:B,MATCH(848,_Datos!$I:$I,0)),"")</f>
        <v/>
      </c>
      <c r="C855" s="67" t="str">
        <f>IFERROR(INDEX(_Datos!C:C,MATCH(848,_Datos!$I:$I,0)),"")</f>
        <v/>
      </c>
      <c r="D855" s="68" t="str">
        <f>IFERROR(INDEX(_Datos!D:D,MATCH(848,_Datos!$I:$I,0)),"")</f>
        <v/>
      </c>
      <c r="E855" s="69" t="str">
        <f>IFERROR(INDEX(_Datos!E:E,MATCH(848,_Datos!$I:$I,0)),"")</f>
        <v/>
      </c>
      <c r="F855" s="67" t="str">
        <f>IFERROR(INDEX(_Datos!F:F,MATCH(848,_Datos!$I:$I,0)),"")</f>
        <v/>
      </c>
      <c r="G855" s="67" t="str">
        <f>IFERROR(INDEX(_Datos!G:G,MATCH(848,_Datos!$I:$I,0)),"")</f>
        <v/>
      </c>
      <c r="H855" s="70" t="str">
        <f>IFERROR(INDEX(_Datos!H:H,MATCH(848,_Datos!$I:$I,0)),"")</f>
        <v/>
      </c>
    </row>
    <row r="856" spans="1:8" x14ac:dyDescent="0.2">
      <c r="A856" s="63" t="str">
        <f>IFERROR(INDEX(_Datos!A:A,MATCH(849,_Datos!$I:$I,0)),"")</f>
        <v/>
      </c>
      <c r="B856" s="63" t="str">
        <f>IFERROR(INDEX(_Datos!B:B,MATCH(849,_Datos!$I:$I,0)),"")</f>
        <v/>
      </c>
      <c r="C856" s="63" t="str">
        <f>IFERROR(INDEX(_Datos!C:C,MATCH(849,_Datos!$I:$I,0)),"")</f>
        <v/>
      </c>
      <c r="D856" s="64" t="str">
        <f>IFERROR(INDEX(_Datos!D:D,MATCH(849,_Datos!$I:$I,0)),"")</f>
        <v/>
      </c>
      <c r="E856" s="65" t="str">
        <f>IFERROR(INDEX(_Datos!E:E,MATCH(849,_Datos!$I:$I,0)),"")</f>
        <v/>
      </c>
      <c r="F856" s="63" t="str">
        <f>IFERROR(INDEX(_Datos!F:F,MATCH(849,_Datos!$I:$I,0)),"")</f>
        <v/>
      </c>
      <c r="G856" s="63" t="str">
        <f>IFERROR(INDEX(_Datos!G:G,MATCH(849,_Datos!$I:$I,0)),"")</f>
        <v/>
      </c>
      <c r="H856" s="66" t="str">
        <f>IFERROR(INDEX(_Datos!H:H,MATCH(849,_Datos!$I:$I,0)),"")</f>
        <v/>
      </c>
    </row>
    <row r="857" spans="1:8" x14ac:dyDescent="0.2">
      <c r="A857" s="67" t="str">
        <f>IFERROR(INDEX(_Datos!A:A,MATCH(850,_Datos!$I:$I,0)),"")</f>
        <v/>
      </c>
      <c r="B857" s="67" t="str">
        <f>IFERROR(INDEX(_Datos!B:B,MATCH(850,_Datos!$I:$I,0)),"")</f>
        <v/>
      </c>
      <c r="C857" s="67" t="str">
        <f>IFERROR(INDEX(_Datos!C:C,MATCH(850,_Datos!$I:$I,0)),"")</f>
        <v/>
      </c>
      <c r="D857" s="68" t="str">
        <f>IFERROR(INDEX(_Datos!D:D,MATCH(850,_Datos!$I:$I,0)),"")</f>
        <v/>
      </c>
      <c r="E857" s="69" t="str">
        <f>IFERROR(INDEX(_Datos!E:E,MATCH(850,_Datos!$I:$I,0)),"")</f>
        <v/>
      </c>
      <c r="F857" s="67" t="str">
        <f>IFERROR(INDEX(_Datos!F:F,MATCH(850,_Datos!$I:$I,0)),"")</f>
        <v/>
      </c>
      <c r="G857" s="67" t="str">
        <f>IFERROR(INDEX(_Datos!G:G,MATCH(850,_Datos!$I:$I,0)),"")</f>
        <v/>
      </c>
      <c r="H857" s="70" t="str">
        <f>IFERROR(INDEX(_Datos!H:H,MATCH(850,_Datos!$I:$I,0)),"")</f>
        <v/>
      </c>
    </row>
    <row r="858" spans="1:8" x14ac:dyDescent="0.2">
      <c r="A858" s="63" t="str">
        <f>IFERROR(INDEX(_Datos!A:A,MATCH(851,_Datos!$I:$I,0)),"")</f>
        <v/>
      </c>
      <c r="B858" s="63" t="str">
        <f>IFERROR(INDEX(_Datos!B:B,MATCH(851,_Datos!$I:$I,0)),"")</f>
        <v/>
      </c>
      <c r="C858" s="63" t="str">
        <f>IFERROR(INDEX(_Datos!C:C,MATCH(851,_Datos!$I:$I,0)),"")</f>
        <v/>
      </c>
      <c r="D858" s="64" t="str">
        <f>IFERROR(INDEX(_Datos!D:D,MATCH(851,_Datos!$I:$I,0)),"")</f>
        <v/>
      </c>
      <c r="E858" s="65" t="str">
        <f>IFERROR(INDEX(_Datos!E:E,MATCH(851,_Datos!$I:$I,0)),"")</f>
        <v/>
      </c>
      <c r="F858" s="63" t="str">
        <f>IFERROR(INDEX(_Datos!F:F,MATCH(851,_Datos!$I:$I,0)),"")</f>
        <v/>
      </c>
      <c r="G858" s="63" t="str">
        <f>IFERROR(INDEX(_Datos!G:G,MATCH(851,_Datos!$I:$I,0)),"")</f>
        <v/>
      </c>
      <c r="H858" s="66" t="str">
        <f>IFERROR(INDEX(_Datos!H:H,MATCH(851,_Datos!$I:$I,0)),"")</f>
        <v/>
      </c>
    </row>
    <row r="859" spans="1:8" x14ac:dyDescent="0.2">
      <c r="A859" s="67" t="str">
        <f>IFERROR(INDEX(_Datos!A:A,MATCH(852,_Datos!$I:$I,0)),"")</f>
        <v/>
      </c>
      <c r="B859" s="67" t="str">
        <f>IFERROR(INDEX(_Datos!B:B,MATCH(852,_Datos!$I:$I,0)),"")</f>
        <v/>
      </c>
      <c r="C859" s="67" t="str">
        <f>IFERROR(INDEX(_Datos!C:C,MATCH(852,_Datos!$I:$I,0)),"")</f>
        <v/>
      </c>
      <c r="D859" s="68" t="str">
        <f>IFERROR(INDEX(_Datos!D:D,MATCH(852,_Datos!$I:$I,0)),"")</f>
        <v/>
      </c>
      <c r="E859" s="69" t="str">
        <f>IFERROR(INDEX(_Datos!E:E,MATCH(852,_Datos!$I:$I,0)),"")</f>
        <v/>
      </c>
      <c r="F859" s="67" t="str">
        <f>IFERROR(INDEX(_Datos!F:F,MATCH(852,_Datos!$I:$I,0)),"")</f>
        <v/>
      </c>
      <c r="G859" s="67" t="str">
        <f>IFERROR(INDEX(_Datos!G:G,MATCH(852,_Datos!$I:$I,0)),"")</f>
        <v/>
      </c>
      <c r="H859" s="70" t="str">
        <f>IFERROR(INDEX(_Datos!H:H,MATCH(852,_Datos!$I:$I,0)),"")</f>
        <v/>
      </c>
    </row>
    <row r="860" spans="1:8" x14ac:dyDescent="0.2">
      <c r="A860" s="63" t="str">
        <f>IFERROR(INDEX(_Datos!A:A,MATCH(853,_Datos!$I:$I,0)),"")</f>
        <v/>
      </c>
      <c r="B860" s="63" t="str">
        <f>IFERROR(INDEX(_Datos!B:B,MATCH(853,_Datos!$I:$I,0)),"")</f>
        <v/>
      </c>
      <c r="C860" s="63" t="str">
        <f>IFERROR(INDEX(_Datos!C:C,MATCH(853,_Datos!$I:$I,0)),"")</f>
        <v/>
      </c>
      <c r="D860" s="64" t="str">
        <f>IFERROR(INDEX(_Datos!D:D,MATCH(853,_Datos!$I:$I,0)),"")</f>
        <v/>
      </c>
      <c r="E860" s="65" t="str">
        <f>IFERROR(INDEX(_Datos!E:E,MATCH(853,_Datos!$I:$I,0)),"")</f>
        <v/>
      </c>
      <c r="F860" s="63" t="str">
        <f>IFERROR(INDEX(_Datos!F:F,MATCH(853,_Datos!$I:$I,0)),"")</f>
        <v/>
      </c>
      <c r="G860" s="63" t="str">
        <f>IFERROR(INDEX(_Datos!G:G,MATCH(853,_Datos!$I:$I,0)),"")</f>
        <v/>
      </c>
      <c r="H860" s="66" t="str">
        <f>IFERROR(INDEX(_Datos!H:H,MATCH(853,_Datos!$I:$I,0)),"")</f>
        <v/>
      </c>
    </row>
    <row r="861" spans="1:8" x14ac:dyDescent="0.2">
      <c r="A861" s="67" t="str">
        <f>IFERROR(INDEX(_Datos!A:A,MATCH(854,_Datos!$I:$I,0)),"")</f>
        <v/>
      </c>
      <c r="B861" s="67" t="str">
        <f>IFERROR(INDEX(_Datos!B:B,MATCH(854,_Datos!$I:$I,0)),"")</f>
        <v/>
      </c>
      <c r="C861" s="67" t="str">
        <f>IFERROR(INDEX(_Datos!C:C,MATCH(854,_Datos!$I:$I,0)),"")</f>
        <v/>
      </c>
      <c r="D861" s="68" t="str">
        <f>IFERROR(INDEX(_Datos!D:D,MATCH(854,_Datos!$I:$I,0)),"")</f>
        <v/>
      </c>
      <c r="E861" s="69" t="str">
        <f>IFERROR(INDEX(_Datos!E:E,MATCH(854,_Datos!$I:$I,0)),"")</f>
        <v/>
      </c>
      <c r="F861" s="67" t="str">
        <f>IFERROR(INDEX(_Datos!F:F,MATCH(854,_Datos!$I:$I,0)),"")</f>
        <v/>
      </c>
      <c r="G861" s="67" t="str">
        <f>IFERROR(INDEX(_Datos!G:G,MATCH(854,_Datos!$I:$I,0)),"")</f>
        <v/>
      </c>
      <c r="H861" s="70" t="str">
        <f>IFERROR(INDEX(_Datos!H:H,MATCH(854,_Datos!$I:$I,0)),"")</f>
        <v/>
      </c>
    </row>
    <row r="862" spans="1:8" x14ac:dyDescent="0.2">
      <c r="A862" s="63" t="str">
        <f>IFERROR(INDEX(_Datos!A:A,MATCH(855,_Datos!$I:$I,0)),"")</f>
        <v/>
      </c>
      <c r="B862" s="63" t="str">
        <f>IFERROR(INDEX(_Datos!B:B,MATCH(855,_Datos!$I:$I,0)),"")</f>
        <v/>
      </c>
      <c r="C862" s="63" t="str">
        <f>IFERROR(INDEX(_Datos!C:C,MATCH(855,_Datos!$I:$I,0)),"")</f>
        <v/>
      </c>
      <c r="D862" s="64" t="str">
        <f>IFERROR(INDEX(_Datos!D:D,MATCH(855,_Datos!$I:$I,0)),"")</f>
        <v/>
      </c>
      <c r="E862" s="65" t="str">
        <f>IFERROR(INDEX(_Datos!E:E,MATCH(855,_Datos!$I:$I,0)),"")</f>
        <v/>
      </c>
      <c r="F862" s="63" t="str">
        <f>IFERROR(INDEX(_Datos!F:F,MATCH(855,_Datos!$I:$I,0)),"")</f>
        <v/>
      </c>
      <c r="G862" s="63" t="str">
        <f>IFERROR(INDEX(_Datos!G:G,MATCH(855,_Datos!$I:$I,0)),"")</f>
        <v/>
      </c>
      <c r="H862" s="66" t="str">
        <f>IFERROR(INDEX(_Datos!H:H,MATCH(855,_Datos!$I:$I,0)),"")</f>
        <v/>
      </c>
    </row>
    <row r="863" spans="1:8" x14ac:dyDescent="0.2">
      <c r="A863" s="67" t="str">
        <f>IFERROR(INDEX(_Datos!A:A,MATCH(856,_Datos!$I:$I,0)),"")</f>
        <v/>
      </c>
      <c r="B863" s="67" t="str">
        <f>IFERROR(INDEX(_Datos!B:B,MATCH(856,_Datos!$I:$I,0)),"")</f>
        <v/>
      </c>
      <c r="C863" s="67" t="str">
        <f>IFERROR(INDEX(_Datos!C:C,MATCH(856,_Datos!$I:$I,0)),"")</f>
        <v/>
      </c>
      <c r="D863" s="68" t="str">
        <f>IFERROR(INDEX(_Datos!D:D,MATCH(856,_Datos!$I:$I,0)),"")</f>
        <v/>
      </c>
      <c r="E863" s="69" t="str">
        <f>IFERROR(INDEX(_Datos!E:E,MATCH(856,_Datos!$I:$I,0)),"")</f>
        <v/>
      </c>
      <c r="F863" s="67" t="str">
        <f>IFERROR(INDEX(_Datos!F:F,MATCH(856,_Datos!$I:$I,0)),"")</f>
        <v/>
      </c>
      <c r="G863" s="67" t="str">
        <f>IFERROR(INDEX(_Datos!G:G,MATCH(856,_Datos!$I:$I,0)),"")</f>
        <v/>
      </c>
      <c r="H863" s="70" t="str">
        <f>IFERROR(INDEX(_Datos!H:H,MATCH(856,_Datos!$I:$I,0)),"")</f>
        <v/>
      </c>
    </row>
    <row r="864" spans="1:8" x14ac:dyDescent="0.2">
      <c r="A864" s="63" t="str">
        <f>IFERROR(INDEX(_Datos!A:A,MATCH(857,_Datos!$I:$I,0)),"")</f>
        <v/>
      </c>
      <c r="B864" s="63" t="str">
        <f>IFERROR(INDEX(_Datos!B:B,MATCH(857,_Datos!$I:$I,0)),"")</f>
        <v/>
      </c>
      <c r="C864" s="63" t="str">
        <f>IFERROR(INDEX(_Datos!C:C,MATCH(857,_Datos!$I:$I,0)),"")</f>
        <v/>
      </c>
      <c r="D864" s="64" t="str">
        <f>IFERROR(INDEX(_Datos!D:D,MATCH(857,_Datos!$I:$I,0)),"")</f>
        <v/>
      </c>
      <c r="E864" s="65" t="str">
        <f>IFERROR(INDEX(_Datos!E:E,MATCH(857,_Datos!$I:$I,0)),"")</f>
        <v/>
      </c>
      <c r="F864" s="63" t="str">
        <f>IFERROR(INDEX(_Datos!F:F,MATCH(857,_Datos!$I:$I,0)),"")</f>
        <v/>
      </c>
      <c r="G864" s="63" t="str">
        <f>IFERROR(INDEX(_Datos!G:G,MATCH(857,_Datos!$I:$I,0)),"")</f>
        <v/>
      </c>
      <c r="H864" s="66" t="str">
        <f>IFERROR(INDEX(_Datos!H:H,MATCH(857,_Datos!$I:$I,0)),"")</f>
        <v/>
      </c>
    </row>
    <row r="865" spans="1:8" x14ac:dyDescent="0.2">
      <c r="A865" s="67" t="str">
        <f>IFERROR(INDEX(_Datos!A:A,MATCH(858,_Datos!$I:$I,0)),"")</f>
        <v/>
      </c>
      <c r="B865" s="67" t="str">
        <f>IFERROR(INDEX(_Datos!B:B,MATCH(858,_Datos!$I:$I,0)),"")</f>
        <v/>
      </c>
      <c r="C865" s="67" t="str">
        <f>IFERROR(INDEX(_Datos!C:C,MATCH(858,_Datos!$I:$I,0)),"")</f>
        <v/>
      </c>
      <c r="D865" s="68" t="str">
        <f>IFERROR(INDEX(_Datos!D:D,MATCH(858,_Datos!$I:$I,0)),"")</f>
        <v/>
      </c>
      <c r="E865" s="69" t="str">
        <f>IFERROR(INDEX(_Datos!E:E,MATCH(858,_Datos!$I:$I,0)),"")</f>
        <v/>
      </c>
      <c r="F865" s="67" t="str">
        <f>IFERROR(INDEX(_Datos!F:F,MATCH(858,_Datos!$I:$I,0)),"")</f>
        <v/>
      </c>
      <c r="G865" s="67" t="str">
        <f>IFERROR(INDEX(_Datos!G:G,MATCH(858,_Datos!$I:$I,0)),"")</f>
        <v/>
      </c>
      <c r="H865" s="70" t="str">
        <f>IFERROR(INDEX(_Datos!H:H,MATCH(858,_Datos!$I:$I,0)),"")</f>
        <v/>
      </c>
    </row>
    <row r="866" spans="1:8" x14ac:dyDescent="0.2">
      <c r="A866" s="63" t="str">
        <f>IFERROR(INDEX(_Datos!A:A,MATCH(859,_Datos!$I:$I,0)),"")</f>
        <v/>
      </c>
      <c r="B866" s="63" t="str">
        <f>IFERROR(INDEX(_Datos!B:B,MATCH(859,_Datos!$I:$I,0)),"")</f>
        <v/>
      </c>
      <c r="C866" s="63" t="str">
        <f>IFERROR(INDEX(_Datos!C:C,MATCH(859,_Datos!$I:$I,0)),"")</f>
        <v/>
      </c>
      <c r="D866" s="64" t="str">
        <f>IFERROR(INDEX(_Datos!D:D,MATCH(859,_Datos!$I:$I,0)),"")</f>
        <v/>
      </c>
      <c r="E866" s="65" t="str">
        <f>IFERROR(INDEX(_Datos!E:E,MATCH(859,_Datos!$I:$I,0)),"")</f>
        <v/>
      </c>
      <c r="F866" s="63" t="str">
        <f>IFERROR(INDEX(_Datos!F:F,MATCH(859,_Datos!$I:$I,0)),"")</f>
        <v/>
      </c>
      <c r="G866" s="63" t="str">
        <f>IFERROR(INDEX(_Datos!G:G,MATCH(859,_Datos!$I:$I,0)),"")</f>
        <v/>
      </c>
      <c r="H866" s="66" t="str">
        <f>IFERROR(INDEX(_Datos!H:H,MATCH(859,_Datos!$I:$I,0)),"")</f>
        <v/>
      </c>
    </row>
    <row r="867" spans="1:8" x14ac:dyDescent="0.2">
      <c r="A867" s="67" t="str">
        <f>IFERROR(INDEX(_Datos!A:A,MATCH(860,_Datos!$I:$I,0)),"")</f>
        <v/>
      </c>
      <c r="B867" s="67" t="str">
        <f>IFERROR(INDEX(_Datos!B:B,MATCH(860,_Datos!$I:$I,0)),"")</f>
        <v/>
      </c>
      <c r="C867" s="67" t="str">
        <f>IFERROR(INDEX(_Datos!C:C,MATCH(860,_Datos!$I:$I,0)),"")</f>
        <v/>
      </c>
      <c r="D867" s="68" t="str">
        <f>IFERROR(INDEX(_Datos!D:D,MATCH(860,_Datos!$I:$I,0)),"")</f>
        <v/>
      </c>
      <c r="E867" s="69" t="str">
        <f>IFERROR(INDEX(_Datos!E:E,MATCH(860,_Datos!$I:$I,0)),"")</f>
        <v/>
      </c>
      <c r="F867" s="67" t="str">
        <f>IFERROR(INDEX(_Datos!F:F,MATCH(860,_Datos!$I:$I,0)),"")</f>
        <v/>
      </c>
      <c r="G867" s="67" t="str">
        <f>IFERROR(INDEX(_Datos!G:G,MATCH(860,_Datos!$I:$I,0)),"")</f>
        <v/>
      </c>
      <c r="H867" s="70" t="str">
        <f>IFERROR(INDEX(_Datos!H:H,MATCH(860,_Datos!$I:$I,0)),"")</f>
        <v/>
      </c>
    </row>
    <row r="868" spans="1:8" x14ac:dyDescent="0.2">
      <c r="A868" s="63" t="str">
        <f>IFERROR(INDEX(_Datos!A:A,MATCH(861,_Datos!$I:$I,0)),"")</f>
        <v/>
      </c>
      <c r="B868" s="63" t="str">
        <f>IFERROR(INDEX(_Datos!B:B,MATCH(861,_Datos!$I:$I,0)),"")</f>
        <v/>
      </c>
      <c r="C868" s="63" t="str">
        <f>IFERROR(INDEX(_Datos!C:C,MATCH(861,_Datos!$I:$I,0)),"")</f>
        <v/>
      </c>
      <c r="D868" s="64" t="str">
        <f>IFERROR(INDEX(_Datos!D:D,MATCH(861,_Datos!$I:$I,0)),"")</f>
        <v/>
      </c>
      <c r="E868" s="65" t="str">
        <f>IFERROR(INDEX(_Datos!E:E,MATCH(861,_Datos!$I:$I,0)),"")</f>
        <v/>
      </c>
      <c r="F868" s="63" t="str">
        <f>IFERROR(INDEX(_Datos!F:F,MATCH(861,_Datos!$I:$I,0)),"")</f>
        <v/>
      </c>
      <c r="G868" s="63" t="str">
        <f>IFERROR(INDEX(_Datos!G:G,MATCH(861,_Datos!$I:$I,0)),"")</f>
        <v/>
      </c>
      <c r="H868" s="66" t="str">
        <f>IFERROR(INDEX(_Datos!H:H,MATCH(861,_Datos!$I:$I,0)),"")</f>
        <v/>
      </c>
    </row>
    <row r="869" spans="1:8" x14ac:dyDescent="0.2">
      <c r="A869" s="67" t="str">
        <f>IFERROR(INDEX(_Datos!A:A,MATCH(862,_Datos!$I:$I,0)),"")</f>
        <v/>
      </c>
      <c r="B869" s="67" t="str">
        <f>IFERROR(INDEX(_Datos!B:B,MATCH(862,_Datos!$I:$I,0)),"")</f>
        <v/>
      </c>
      <c r="C869" s="67" t="str">
        <f>IFERROR(INDEX(_Datos!C:C,MATCH(862,_Datos!$I:$I,0)),"")</f>
        <v/>
      </c>
      <c r="D869" s="68" t="str">
        <f>IFERROR(INDEX(_Datos!D:D,MATCH(862,_Datos!$I:$I,0)),"")</f>
        <v/>
      </c>
      <c r="E869" s="69" t="str">
        <f>IFERROR(INDEX(_Datos!E:E,MATCH(862,_Datos!$I:$I,0)),"")</f>
        <v/>
      </c>
      <c r="F869" s="67" t="str">
        <f>IFERROR(INDEX(_Datos!F:F,MATCH(862,_Datos!$I:$I,0)),"")</f>
        <v/>
      </c>
      <c r="G869" s="67" t="str">
        <f>IFERROR(INDEX(_Datos!G:G,MATCH(862,_Datos!$I:$I,0)),"")</f>
        <v/>
      </c>
      <c r="H869" s="70" t="str">
        <f>IFERROR(INDEX(_Datos!H:H,MATCH(862,_Datos!$I:$I,0)),"")</f>
        <v/>
      </c>
    </row>
    <row r="870" spans="1:8" x14ac:dyDescent="0.2">
      <c r="A870" s="63" t="str">
        <f>IFERROR(INDEX(_Datos!A:A,MATCH(863,_Datos!$I:$I,0)),"")</f>
        <v/>
      </c>
      <c r="B870" s="63" t="str">
        <f>IFERROR(INDEX(_Datos!B:B,MATCH(863,_Datos!$I:$I,0)),"")</f>
        <v/>
      </c>
      <c r="C870" s="63" t="str">
        <f>IFERROR(INDEX(_Datos!C:C,MATCH(863,_Datos!$I:$I,0)),"")</f>
        <v/>
      </c>
      <c r="D870" s="64" t="str">
        <f>IFERROR(INDEX(_Datos!D:D,MATCH(863,_Datos!$I:$I,0)),"")</f>
        <v/>
      </c>
      <c r="E870" s="65" t="str">
        <f>IFERROR(INDEX(_Datos!E:E,MATCH(863,_Datos!$I:$I,0)),"")</f>
        <v/>
      </c>
      <c r="F870" s="63" t="str">
        <f>IFERROR(INDEX(_Datos!F:F,MATCH(863,_Datos!$I:$I,0)),"")</f>
        <v/>
      </c>
      <c r="G870" s="63" t="str">
        <f>IFERROR(INDEX(_Datos!G:G,MATCH(863,_Datos!$I:$I,0)),"")</f>
        <v/>
      </c>
      <c r="H870" s="66" t="str">
        <f>IFERROR(INDEX(_Datos!H:H,MATCH(863,_Datos!$I:$I,0)),"")</f>
        <v/>
      </c>
    </row>
    <row r="871" spans="1:8" x14ac:dyDescent="0.2">
      <c r="A871" s="67" t="str">
        <f>IFERROR(INDEX(_Datos!A:A,MATCH(864,_Datos!$I:$I,0)),"")</f>
        <v/>
      </c>
      <c r="B871" s="67" t="str">
        <f>IFERROR(INDEX(_Datos!B:B,MATCH(864,_Datos!$I:$I,0)),"")</f>
        <v/>
      </c>
      <c r="C871" s="67" t="str">
        <f>IFERROR(INDEX(_Datos!C:C,MATCH(864,_Datos!$I:$I,0)),"")</f>
        <v/>
      </c>
      <c r="D871" s="68" t="str">
        <f>IFERROR(INDEX(_Datos!D:D,MATCH(864,_Datos!$I:$I,0)),"")</f>
        <v/>
      </c>
      <c r="E871" s="69" t="str">
        <f>IFERROR(INDEX(_Datos!E:E,MATCH(864,_Datos!$I:$I,0)),"")</f>
        <v/>
      </c>
      <c r="F871" s="67" t="str">
        <f>IFERROR(INDEX(_Datos!F:F,MATCH(864,_Datos!$I:$I,0)),"")</f>
        <v/>
      </c>
      <c r="G871" s="67" t="str">
        <f>IFERROR(INDEX(_Datos!G:G,MATCH(864,_Datos!$I:$I,0)),"")</f>
        <v/>
      </c>
      <c r="H871" s="70" t="str">
        <f>IFERROR(INDEX(_Datos!H:H,MATCH(864,_Datos!$I:$I,0)),"")</f>
        <v/>
      </c>
    </row>
    <row r="872" spans="1:8" x14ac:dyDescent="0.2">
      <c r="A872" s="63" t="str">
        <f>IFERROR(INDEX(_Datos!A:A,MATCH(865,_Datos!$I:$I,0)),"")</f>
        <v/>
      </c>
      <c r="B872" s="63" t="str">
        <f>IFERROR(INDEX(_Datos!B:B,MATCH(865,_Datos!$I:$I,0)),"")</f>
        <v/>
      </c>
      <c r="C872" s="63" t="str">
        <f>IFERROR(INDEX(_Datos!C:C,MATCH(865,_Datos!$I:$I,0)),"")</f>
        <v/>
      </c>
      <c r="D872" s="64" t="str">
        <f>IFERROR(INDEX(_Datos!D:D,MATCH(865,_Datos!$I:$I,0)),"")</f>
        <v/>
      </c>
      <c r="E872" s="65" t="str">
        <f>IFERROR(INDEX(_Datos!E:E,MATCH(865,_Datos!$I:$I,0)),"")</f>
        <v/>
      </c>
      <c r="F872" s="63" t="str">
        <f>IFERROR(INDEX(_Datos!F:F,MATCH(865,_Datos!$I:$I,0)),"")</f>
        <v/>
      </c>
      <c r="G872" s="63" t="str">
        <f>IFERROR(INDEX(_Datos!G:G,MATCH(865,_Datos!$I:$I,0)),"")</f>
        <v/>
      </c>
      <c r="H872" s="66" t="str">
        <f>IFERROR(INDEX(_Datos!H:H,MATCH(865,_Datos!$I:$I,0)),"")</f>
        <v/>
      </c>
    </row>
    <row r="873" spans="1:8" x14ac:dyDescent="0.2">
      <c r="A873" s="67" t="str">
        <f>IFERROR(INDEX(_Datos!A:A,MATCH(866,_Datos!$I:$I,0)),"")</f>
        <v/>
      </c>
      <c r="B873" s="67" t="str">
        <f>IFERROR(INDEX(_Datos!B:B,MATCH(866,_Datos!$I:$I,0)),"")</f>
        <v/>
      </c>
      <c r="C873" s="67" t="str">
        <f>IFERROR(INDEX(_Datos!C:C,MATCH(866,_Datos!$I:$I,0)),"")</f>
        <v/>
      </c>
      <c r="D873" s="68" t="str">
        <f>IFERROR(INDEX(_Datos!D:D,MATCH(866,_Datos!$I:$I,0)),"")</f>
        <v/>
      </c>
      <c r="E873" s="69" t="str">
        <f>IFERROR(INDEX(_Datos!E:E,MATCH(866,_Datos!$I:$I,0)),"")</f>
        <v/>
      </c>
      <c r="F873" s="67" t="str">
        <f>IFERROR(INDEX(_Datos!F:F,MATCH(866,_Datos!$I:$I,0)),"")</f>
        <v/>
      </c>
      <c r="G873" s="67" t="str">
        <f>IFERROR(INDEX(_Datos!G:G,MATCH(866,_Datos!$I:$I,0)),"")</f>
        <v/>
      </c>
      <c r="H873" s="70" t="str">
        <f>IFERROR(INDEX(_Datos!H:H,MATCH(866,_Datos!$I:$I,0)),"")</f>
        <v/>
      </c>
    </row>
    <row r="874" spans="1:8" x14ac:dyDescent="0.2">
      <c r="A874" s="63" t="str">
        <f>IFERROR(INDEX(_Datos!A:A,MATCH(867,_Datos!$I:$I,0)),"")</f>
        <v/>
      </c>
      <c r="B874" s="63" t="str">
        <f>IFERROR(INDEX(_Datos!B:B,MATCH(867,_Datos!$I:$I,0)),"")</f>
        <v/>
      </c>
      <c r="C874" s="63" t="str">
        <f>IFERROR(INDEX(_Datos!C:C,MATCH(867,_Datos!$I:$I,0)),"")</f>
        <v/>
      </c>
      <c r="D874" s="64" t="str">
        <f>IFERROR(INDEX(_Datos!D:D,MATCH(867,_Datos!$I:$I,0)),"")</f>
        <v/>
      </c>
      <c r="E874" s="65" t="str">
        <f>IFERROR(INDEX(_Datos!E:E,MATCH(867,_Datos!$I:$I,0)),"")</f>
        <v/>
      </c>
      <c r="F874" s="63" t="str">
        <f>IFERROR(INDEX(_Datos!F:F,MATCH(867,_Datos!$I:$I,0)),"")</f>
        <v/>
      </c>
      <c r="G874" s="63" t="str">
        <f>IFERROR(INDEX(_Datos!G:G,MATCH(867,_Datos!$I:$I,0)),"")</f>
        <v/>
      </c>
      <c r="H874" s="66" t="str">
        <f>IFERROR(INDEX(_Datos!H:H,MATCH(867,_Datos!$I:$I,0)),"")</f>
        <v/>
      </c>
    </row>
    <row r="875" spans="1:8" x14ac:dyDescent="0.2">
      <c r="A875" s="67" t="str">
        <f>IFERROR(INDEX(_Datos!A:A,MATCH(868,_Datos!$I:$I,0)),"")</f>
        <v/>
      </c>
      <c r="B875" s="67" t="str">
        <f>IFERROR(INDEX(_Datos!B:B,MATCH(868,_Datos!$I:$I,0)),"")</f>
        <v/>
      </c>
      <c r="C875" s="67" t="str">
        <f>IFERROR(INDEX(_Datos!C:C,MATCH(868,_Datos!$I:$I,0)),"")</f>
        <v/>
      </c>
      <c r="D875" s="68" t="str">
        <f>IFERROR(INDEX(_Datos!D:D,MATCH(868,_Datos!$I:$I,0)),"")</f>
        <v/>
      </c>
      <c r="E875" s="69" t="str">
        <f>IFERROR(INDEX(_Datos!E:E,MATCH(868,_Datos!$I:$I,0)),"")</f>
        <v/>
      </c>
      <c r="F875" s="67" t="str">
        <f>IFERROR(INDEX(_Datos!F:F,MATCH(868,_Datos!$I:$I,0)),"")</f>
        <v/>
      </c>
      <c r="G875" s="67" t="str">
        <f>IFERROR(INDEX(_Datos!G:G,MATCH(868,_Datos!$I:$I,0)),"")</f>
        <v/>
      </c>
      <c r="H875" s="70" t="str">
        <f>IFERROR(INDEX(_Datos!H:H,MATCH(868,_Datos!$I:$I,0)),"")</f>
        <v/>
      </c>
    </row>
    <row r="876" spans="1:8" x14ac:dyDescent="0.2">
      <c r="A876" s="63" t="str">
        <f>IFERROR(INDEX(_Datos!A:A,MATCH(869,_Datos!$I:$I,0)),"")</f>
        <v/>
      </c>
      <c r="B876" s="63" t="str">
        <f>IFERROR(INDEX(_Datos!B:B,MATCH(869,_Datos!$I:$I,0)),"")</f>
        <v/>
      </c>
      <c r="C876" s="63" t="str">
        <f>IFERROR(INDEX(_Datos!C:C,MATCH(869,_Datos!$I:$I,0)),"")</f>
        <v/>
      </c>
      <c r="D876" s="64" t="str">
        <f>IFERROR(INDEX(_Datos!D:D,MATCH(869,_Datos!$I:$I,0)),"")</f>
        <v/>
      </c>
      <c r="E876" s="65" t="str">
        <f>IFERROR(INDEX(_Datos!E:E,MATCH(869,_Datos!$I:$I,0)),"")</f>
        <v/>
      </c>
      <c r="F876" s="63" t="str">
        <f>IFERROR(INDEX(_Datos!F:F,MATCH(869,_Datos!$I:$I,0)),"")</f>
        <v/>
      </c>
      <c r="G876" s="63" t="str">
        <f>IFERROR(INDEX(_Datos!G:G,MATCH(869,_Datos!$I:$I,0)),"")</f>
        <v/>
      </c>
      <c r="H876" s="66" t="str">
        <f>IFERROR(INDEX(_Datos!H:H,MATCH(869,_Datos!$I:$I,0)),"")</f>
        <v/>
      </c>
    </row>
    <row r="877" spans="1:8" x14ac:dyDescent="0.2">
      <c r="A877" s="67" t="str">
        <f>IFERROR(INDEX(_Datos!A:A,MATCH(870,_Datos!$I:$I,0)),"")</f>
        <v/>
      </c>
      <c r="B877" s="67" t="str">
        <f>IFERROR(INDEX(_Datos!B:B,MATCH(870,_Datos!$I:$I,0)),"")</f>
        <v/>
      </c>
      <c r="C877" s="67" t="str">
        <f>IFERROR(INDEX(_Datos!C:C,MATCH(870,_Datos!$I:$I,0)),"")</f>
        <v/>
      </c>
      <c r="D877" s="68" t="str">
        <f>IFERROR(INDEX(_Datos!D:D,MATCH(870,_Datos!$I:$I,0)),"")</f>
        <v/>
      </c>
      <c r="E877" s="69" t="str">
        <f>IFERROR(INDEX(_Datos!E:E,MATCH(870,_Datos!$I:$I,0)),"")</f>
        <v/>
      </c>
      <c r="F877" s="67" t="str">
        <f>IFERROR(INDEX(_Datos!F:F,MATCH(870,_Datos!$I:$I,0)),"")</f>
        <v/>
      </c>
      <c r="G877" s="67" t="str">
        <f>IFERROR(INDEX(_Datos!G:G,MATCH(870,_Datos!$I:$I,0)),"")</f>
        <v/>
      </c>
      <c r="H877" s="70" t="str">
        <f>IFERROR(INDEX(_Datos!H:H,MATCH(870,_Datos!$I:$I,0)),"")</f>
        <v/>
      </c>
    </row>
    <row r="878" spans="1:8" x14ac:dyDescent="0.2">
      <c r="A878" s="63" t="str">
        <f>IFERROR(INDEX(_Datos!A:A,MATCH(871,_Datos!$I:$I,0)),"")</f>
        <v/>
      </c>
      <c r="B878" s="63" t="str">
        <f>IFERROR(INDEX(_Datos!B:B,MATCH(871,_Datos!$I:$I,0)),"")</f>
        <v/>
      </c>
      <c r="C878" s="63" t="str">
        <f>IFERROR(INDEX(_Datos!C:C,MATCH(871,_Datos!$I:$I,0)),"")</f>
        <v/>
      </c>
      <c r="D878" s="64" t="str">
        <f>IFERROR(INDEX(_Datos!D:D,MATCH(871,_Datos!$I:$I,0)),"")</f>
        <v/>
      </c>
      <c r="E878" s="65" t="str">
        <f>IFERROR(INDEX(_Datos!E:E,MATCH(871,_Datos!$I:$I,0)),"")</f>
        <v/>
      </c>
      <c r="F878" s="63" t="str">
        <f>IFERROR(INDEX(_Datos!F:F,MATCH(871,_Datos!$I:$I,0)),"")</f>
        <v/>
      </c>
      <c r="G878" s="63" t="str">
        <f>IFERROR(INDEX(_Datos!G:G,MATCH(871,_Datos!$I:$I,0)),"")</f>
        <v/>
      </c>
      <c r="H878" s="66" t="str">
        <f>IFERROR(INDEX(_Datos!H:H,MATCH(871,_Datos!$I:$I,0)),"")</f>
        <v/>
      </c>
    </row>
    <row r="879" spans="1:8" x14ac:dyDescent="0.2">
      <c r="A879" s="67" t="str">
        <f>IFERROR(INDEX(_Datos!A:A,MATCH(872,_Datos!$I:$I,0)),"")</f>
        <v/>
      </c>
      <c r="B879" s="67" t="str">
        <f>IFERROR(INDEX(_Datos!B:B,MATCH(872,_Datos!$I:$I,0)),"")</f>
        <v/>
      </c>
      <c r="C879" s="67" t="str">
        <f>IFERROR(INDEX(_Datos!C:C,MATCH(872,_Datos!$I:$I,0)),"")</f>
        <v/>
      </c>
      <c r="D879" s="68" t="str">
        <f>IFERROR(INDEX(_Datos!D:D,MATCH(872,_Datos!$I:$I,0)),"")</f>
        <v/>
      </c>
      <c r="E879" s="69" t="str">
        <f>IFERROR(INDEX(_Datos!E:E,MATCH(872,_Datos!$I:$I,0)),"")</f>
        <v/>
      </c>
      <c r="F879" s="67" t="str">
        <f>IFERROR(INDEX(_Datos!F:F,MATCH(872,_Datos!$I:$I,0)),"")</f>
        <v/>
      </c>
      <c r="G879" s="67" t="str">
        <f>IFERROR(INDEX(_Datos!G:G,MATCH(872,_Datos!$I:$I,0)),"")</f>
        <v/>
      </c>
      <c r="H879" s="70" t="str">
        <f>IFERROR(INDEX(_Datos!H:H,MATCH(872,_Datos!$I:$I,0)),"")</f>
        <v/>
      </c>
    </row>
    <row r="880" spans="1:8" x14ac:dyDescent="0.2">
      <c r="A880" s="63" t="str">
        <f>IFERROR(INDEX(_Datos!A:A,MATCH(873,_Datos!$I:$I,0)),"")</f>
        <v/>
      </c>
      <c r="B880" s="63" t="str">
        <f>IFERROR(INDEX(_Datos!B:B,MATCH(873,_Datos!$I:$I,0)),"")</f>
        <v/>
      </c>
      <c r="C880" s="63" t="str">
        <f>IFERROR(INDEX(_Datos!C:C,MATCH(873,_Datos!$I:$I,0)),"")</f>
        <v/>
      </c>
      <c r="D880" s="64" t="str">
        <f>IFERROR(INDEX(_Datos!D:D,MATCH(873,_Datos!$I:$I,0)),"")</f>
        <v/>
      </c>
      <c r="E880" s="65" t="str">
        <f>IFERROR(INDEX(_Datos!E:E,MATCH(873,_Datos!$I:$I,0)),"")</f>
        <v/>
      </c>
      <c r="F880" s="63" t="str">
        <f>IFERROR(INDEX(_Datos!F:F,MATCH(873,_Datos!$I:$I,0)),"")</f>
        <v/>
      </c>
      <c r="G880" s="63" t="str">
        <f>IFERROR(INDEX(_Datos!G:G,MATCH(873,_Datos!$I:$I,0)),"")</f>
        <v/>
      </c>
      <c r="H880" s="66" t="str">
        <f>IFERROR(INDEX(_Datos!H:H,MATCH(873,_Datos!$I:$I,0)),"")</f>
        <v/>
      </c>
    </row>
    <row r="881" spans="1:8" x14ac:dyDescent="0.2">
      <c r="A881" s="67" t="str">
        <f>IFERROR(INDEX(_Datos!A:A,MATCH(874,_Datos!$I:$I,0)),"")</f>
        <v/>
      </c>
      <c r="B881" s="67" t="str">
        <f>IFERROR(INDEX(_Datos!B:B,MATCH(874,_Datos!$I:$I,0)),"")</f>
        <v/>
      </c>
      <c r="C881" s="67" t="str">
        <f>IFERROR(INDEX(_Datos!C:C,MATCH(874,_Datos!$I:$I,0)),"")</f>
        <v/>
      </c>
      <c r="D881" s="68" t="str">
        <f>IFERROR(INDEX(_Datos!D:D,MATCH(874,_Datos!$I:$I,0)),"")</f>
        <v/>
      </c>
      <c r="E881" s="69" t="str">
        <f>IFERROR(INDEX(_Datos!E:E,MATCH(874,_Datos!$I:$I,0)),"")</f>
        <v/>
      </c>
      <c r="F881" s="67" t="str">
        <f>IFERROR(INDEX(_Datos!F:F,MATCH(874,_Datos!$I:$I,0)),"")</f>
        <v/>
      </c>
      <c r="G881" s="67" t="str">
        <f>IFERROR(INDEX(_Datos!G:G,MATCH(874,_Datos!$I:$I,0)),"")</f>
        <v/>
      </c>
      <c r="H881" s="70" t="str">
        <f>IFERROR(INDEX(_Datos!H:H,MATCH(874,_Datos!$I:$I,0)),"")</f>
        <v/>
      </c>
    </row>
    <row r="882" spans="1:8" x14ac:dyDescent="0.2">
      <c r="A882" s="63" t="str">
        <f>IFERROR(INDEX(_Datos!A:A,MATCH(875,_Datos!$I:$I,0)),"")</f>
        <v/>
      </c>
      <c r="B882" s="63" t="str">
        <f>IFERROR(INDEX(_Datos!B:B,MATCH(875,_Datos!$I:$I,0)),"")</f>
        <v/>
      </c>
      <c r="C882" s="63" t="str">
        <f>IFERROR(INDEX(_Datos!C:C,MATCH(875,_Datos!$I:$I,0)),"")</f>
        <v/>
      </c>
      <c r="D882" s="64" t="str">
        <f>IFERROR(INDEX(_Datos!D:D,MATCH(875,_Datos!$I:$I,0)),"")</f>
        <v/>
      </c>
      <c r="E882" s="65" t="str">
        <f>IFERROR(INDEX(_Datos!E:E,MATCH(875,_Datos!$I:$I,0)),"")</f>
        <v/>
      </c>
      <c r="F882" s="63" t="str">
        <f>IFERROR(INDEX(_Datos!F:F,MATCH(875,_Datos!$I:$I,0)),"")</f>
        <v/>
      </c>
      <c r="G882" s="63" t="str">
        <f>IFERROR(INDEX(_Datos!G:G,MATCH(875,_Datos!$I:$I,0)),"")</f>
        <v/>
      </c>
      <c r="H882" s="66" t="str">
        <f>IFERROR(INDEX(_Datos!H:H,MATCH(875,_Datos!$I:$I,0)),"")</f>
        <v/>
      </c>
    </row>
    <row r="883" spans="1:8" x14ac:dyDescent="0.2">
      <c r="A883" s="67" t="str">
        <f>IFERROR(INDEX(_Datos!A:A,MATCH(876,_Datos!$I:$I,0)),"")</f>
        <v/>
      </c>
      <c r="B883" s="67" t="str">
        <f>IFERROR(INDEX(_Datos!B:B,MATCH(876,_Datos!$I:$I,0)),"")</f>
        <v/>
      </c>
      <c r="C883" s="67" t="str">
        <f>IFERROR(INDEX(_Datos!C:C,MATCH(876,_Datos!$I:$I,0)),"")</f>
        <v/>
      </c>
      <c r="D883" s="68" t="str">
        <f>IFERROR(INDEX(_Datos!D:D,MATCH(876,_Datos!$I:$I,0)),"")</f>
        <v/>
      </c>
      <c r="E883" s="69" t="str">
        <f>IFERROR(INDEX(_Datos!E:E,MATCH(876,_Datos!$I:$I,0)),"")</f>
        <v/>
      </c>
      <c r="F883" s="67" t="str">
        <f>IFERROR(INDEX(_Datos!F:F,MATCH(876,_Datos!$I:$I,0)),"")</f>
        <v/>
      </c>
      <c r="G883" s="67" t="str">
        <f>IFERROR(INDEX(_Datos!G:G,MATCH(876,_Datos!$I:$I,0)),"")</f>
        <v/>
      </c>
      <c r="H883" s="70" t="str">
        <f>IFERROR(INDEX(_Datos!H:H,MATCH(876,_Datos!$I:$I,0)),"")</f>
        <v/>
      </c>
    </row>
    <row r="884" spans="1:8" x14ac:dyDescent="0.2">
      <c r="A884" s="63" t="str">
        <f>IFERROR(INDEX(_Datos!A:A,MATCH(877,_Datos!$I:$I,0)),"")</f>
        <v/>
      </c>
      <c r="B884" s="63" t="str">
        <f>IFERROR(INDEX(_Datos!B:B,MATCH(877,_Datos!$I:$I,0)),"")</f>
        <v/>
      </c>
      <c r="C884" s="63" t="str">
        <f>IFERROR(INDEX(_Datos!C:C,MATCH(877,_Datos!$I:$I,0)),"")</f>
        <v/>
      </c>
      <c r="D884" s="64" t="str">
        <f>IFERROR(INDEX(_Datos!D:D,MATCH(877,_Datos!$I:$I,0)),"")</f>
        <v/>
      </c>
      <c r="E884" s="65" t="str">
        <f>IFERROR(INDEX(_Datos!E:E,MATCH(877,_Datos!$I:$I,0)),"")</f>
        <v/>
      </c>
      <c r="F884" s="63" t="str">
        <f>IFERROR(INDEX(_Datos!F:F,MATCH(877,_Datos!$I:$I,0)),"")</f>
        <v/>
      </c>
      <c r="G884" s="63" t="str">
        <f>IFERROR(INDEX(_Datos!G:G,MATCH(877,_Datos!$I:$I,0)),"")</f>
        <v/>
      </c>
      <c r="H884" s="66" t="str">
        <f>IFERROR(INDEX(_Datos!H:H,MATCH(877,_Datos!$I:$I,0)),"")</f>
        <v/>
      </c>
    </row>
    <row r="885" spans="1:8" x14ac:dyDescent="0.2">
      <c r="A885" s="67" t="str">
        <f>IFERROR(INDEX(_Datos!A:A,MATCH(878,_Datos!$I:$I,0)),"")</f>
        <v/>
      </c>
      <c r="B885" s="67" t="str">
        <f>IFERROR(INDEX(_Datos!B:B,MATCH(878,_Datos!$I:$I,0)),"")</f>
        <v/>
      </c>
      <c r="C885" s="67" t="str">
        <f>IFERROR(INDEX(_Datos!C:C,MATCH(878,_Datos!$I:$I,0)),"")</f>
        <v/>
      </c>
      <c r="D885" s="68" t="str">
        <f>IFERROR(INDEX(_Datos!D:D,MATCH(878,_Datos!$I:$I,0)),"")</f>
        <v/>
      </c>
      <c r="E885" s="69" t="str">
        <f>IFERROR(INDEX(_Datos!E:E,MATCH(878,_Datos!$I:$I,0)),"")</f>
        <v/>
      </c>
      <c r="F885" s="67" t="str">
        <f>IFERROR(INDEX(_Datos!F:F,MATCH(878,_Datos!$I:$I,0)),"")</f>
        <v/>
      </c>
      <c r="G885" s="67" t="str">
        <f>IFERROR(INDEX(_Datos!G:G,MATCH(878,_Datos!$I:$I,0)),"")</f>
        <v/>
      </c>
      <c r="H885" s="70" t="str">
        <f>IFERROR(INDEX(_Datos!H:H,MATCH(878,_Datos!$I:$I,0)),"")</f>
        <v/>
      </c>
    </row>
    <row r="886" spans="1:8" x14ac:dyDescent="0.2">
      <c r="A886" s="63" t="str">
        <f>IFERROR(INDEX(_Datos!A:A,MATCH(879,_Datos!$I:$I,0)),"")</f>
        <v/>
      </c>
      <c r="B886" s="63" t="str">
        <f>IFERROR(INDEX(_Datos!B:B,MATCH(879,_Datos!$I:$I,0)),"")</f>
        <v/>
      </c>
      <c r="C886" s="63" t="str">
        <f>IFERROR(INDEX(_Datos!C:C,MATCH(879,_Datos!$I:$I,0)),"")</f>
        <v/>
      </c>
      <c r="D886" s="64" t="str">
        <f>IFERROR(INDEX(_Datos!D:D,MATCH(879,_Datos!$I:$I,0)),"")</f>
        <v/>
      </c>
      <c r="E886" s="65" t="str">
        <f>IFERROR(INDEX(_Datos!E:E,MATCH(879,_Datos!$I:$I,0)),"")</f>
        <v/>
      </c>
      <c r="F886" s="63" t="str">
        <f>IFERROR(INDEX(_Datos!F:F,MATCH(879,_Datos!$I:$I,0)),"")</f>
        <v/>
      </c>
      <c r="G886" s="63" t="str">
        <f>IFERROR(INDEX(_Datos!G:G,MATCH(879,_Datos!$I:$I,0)),"")</f>
        <v/>
      </c>
      <c r="H886" s="66" t="str">
        <f>IFERROR(INDEX(_Datos!H:H,MATCH(879,_Datos!$I:$I,0)),"")</f>
        <v/>
      </c>
    </row>
    <row r="887" spans="1:8" x14ac:dyDescent="0.2">
      <c r="A887" s="67" t="str">
        <f>IFERROR(INDEX(_Datos!A:A,MATCH(880,_Datos!$I:$I,0)),"")</f>
        <v/>
      </c>
      <c r="B887" s="67" t="str">
        <f>IFERROR(INDEX(_Datos!B:B,MATCH(880,_Datos!$I:$I,0)),"")</f>
        <v/>
      </c>
      <c r="C887" s="67" t="str">
        <f>IFERROR(INDEX(_Datos!C:C,MATCH(880,_Datos!$I:$I,0)),"")</f>
        <v/>
      </c>
      <c r="D887" s="68" t="str">
        <f>IFERROR(INDEX(_Datos!D:D,MATCH(880,_Datos!$I:$I,0)),"")</f>
        <v/>
      </c>
      <c r="E887" s="69" t="str">
        <f>IFERROR(INDEX(_Datos!E:E,MATCH(880,_Datos!$I:$I,0)),"")</f>
        <v/>
      </c>
      <c r="F887" s="67" t="str">
        <f>IFERROR(INDEX(_Datos!F:F,MATCH(880,_Datos!$I:$I,0)),"")</f>
        <v/>
      </c>
      <c r="G887" s="67" t="str">
        <f>IFERROR(INDEX(_Datos!G:G,MATCH(880,_Datos!$I:$I,0)),"")</f>
        <v/>
      </c>
      <c r="H887" s="70" t="str">
        <f>IFERROR(INDEX(_Datos!H:H,MATCH(880,_Datos!$I:$I,0)),"")</f>
        <v/>
      </c>
    </row>
    <row r="888" spans="1:8" x14ac:dyDescent="0.2">
      <c r="A888" s="63" t="str">
        <f>IFERROR(INDEX(_Datos!A:A,MATCH(881,_Datos!$I:$I,0)),"")</f>
        <v/>
      </c>
      <c r="B888" s="63" t="str">
        <f>IFERROR(INDEX(_Datos!B:B,MATCH(881,_Datos!$I:$I,0)),"")</f>
        <v/>
      </c>
      <c r="C888" s="63" t="str">
        <f>IFERROR(INDEX(_Datos!C:C,MATCH(881,_Datos!$I:$I,0)),"")</f>
        <v/>
      </c>
      <c r="D888" s="64" t="str">
        <f>IFERROR(INDEX(_Datos!D:D,MATCH(881,_Datos!$I:$I,0)),"")</f>
        <v/>
      </c>
      <c r="E888" s="65" t="str">
        <f>IFERROR(INDEX(_Datos!E:E,MATCH(881,_Datos!$I:$I,0)),"")</f>
        <v/>
      </c>
      <c r="F888" s="63" t="str">
        <f>IFERROR(INDEX(_Datos!F:F,MATCH(881,_Datos!$I:$I,0)),"")</f>
        <v/>
      </c>
      <c r="G888" s="63" t="str">
        <f>IFERROR(INDEX(_Datos!G:G,MATCH(881,_Datos!$I:$I,0)),"")</f>
        <v/>
      </c>
      <c r="H888" s="66" t="str">
        <f>IFERROR(INDEX(_Datos!H:H,MATCH(881,_Datos!$I:$I,0)),"")</f>
        <v/>
      </c>
    </row>
    <row r="889" spans="1:8" x14ac:dyDescent="0.2">
      <c r="A889" s="67" t="str">
        <f>IFERROR(INDEX(_Datos!A:A,MATCH(882,_Datos!$I:$I,0)),"")</f>
        <v/>
      </c>
      <c r="B889" s="67" t="str">
        <f>IFERROR(INDEX(_Datos!B:B,MATCH(882,_Datos!$I:$I,0)),"")</f>
        <v/>
      </c>
      <c r="C889" s="67" t="str">
        <f>IFERROR(INDEX(_Datos!C:C,MATCH(882,_Datos!$I:$I,0)),"")</f>
        <v/>
      </c>
      <c r="D889" s="68" t="str">
        <f>IFERROR(INDEX(_Datos!D:D,MATCH(882,_Datos!$I:$I,0)),"")</f>
        <v/>
      </c>
      <c r="E889" s="69" t="str">
        <f>IFERROR(INDEX(_Datos!E:E,MATCH(882,_Datos!$I:$I,0)),"")</f>
        <v/>
      </c>
      <c r="F889" s="67" t="str">
        <f>IFERROR(INDEX(_Datos!F:F,MATCH(882,_Datos!$I:$I,0)),"")</f>
        <v/>
      </c>
      <c r="G889" s="67" t="str">
        <f>IFERROR(INDEX(_Datos!G:G,MATCH(882,_Datos!$I:$I,0)),"")</f>
        <v/>
      </c>
      <c r="H889" s="70" t="str">
        <f>IFERROR(INDEX(_Datos!H:H,MATCH(882,_Datos!$I:$I,0)),"")</f>
        <v/>
      </c>
    </row>
    <row r="890" spans="1:8" x14ac:dyDescent="0.2">
      <c r="A890" s="63" t="str">
        <f>IFERROR(INDEX(_Datos!A:A,MATCH(883,_Datos!$I:$I,0)),"")</f>
        <v/>
      </c>
      <c r="B890" s="63" t="str">
        <f>IFERROR(INDEX(_Datos!B:B,MATCH(883,_Datos!$I:$I,0)),"")</f>
        <v/>
      </c>
      <c r="C890" s="63" t="str">
        <f>IFERROR(INDEX(_Datos!C:C,MATCH(883,_Datos!$I:$I,0)),"")</f>
        <v/>
      </c>
      <c r="D890" s="64" t="str">
        <f>IFERROR(INDEX(_Datos!D:D,MATCH(883,_Datos!$I:$I,0)),"")</f>
        <v/>
      </c>
      <c r="E890" s="65" t="str">
        <f>IFERROR(INDEX(_Datos!E:E,MATCH(883,_Datos!$I:$I,0)),"")</f>
        <v/>
      </c>
      <c r="F890" s="63" t="str">
        <f>IFERROR(INDEX(_Datos!F:F,MATCH(883,_Datos!$I:$I,0)),"")</f>
        <v/>
      </c>
      <c r="G890" s="63" t="str">
        <f>IFERROR(INDEX(_Datos!G:G,MATCH(883,_Datos!$I:$I,0)),"")</f>
        <v/>
      </c>
      <c r="H890" s="66" t="str">
        <f>IFERROR(INDEX(_Datos!H:H,MATCH(883,_Datos!$I:$I,0)),"")</f>
        <v/>
      </c>
    </row>
    <row r="891" spans="1:8" x14ac:dyDescent="0.2">
      <c r="A891" s="67" t="str">
        <f>IFERROR(INDEX(_Datos!A:A,MATCH(884,_Datos!$I:$I,0)),"")</f>
        <v/>
      </c>
      <c r="B891" s="67" t="str">
        <f>IFERROR(INDEX(_Datos!B:B,MATCH(884,_Datos!$I:$I,0)),"")</f>
        <v/>
      </c>
      <c r="C891" s="67" t="str">
        <f>IFERROR(INDEX(_Datos!C:C,MATCH(884,_Datos!$I:$I,0)),"")</f>
        <v/>
      </c>
      <c r="D891" s="68" t="str">
        <f>IFERROR(INDEX(_Datos!D:D,MATCH(884,_Datos!$I:$I,0)),"")</f>
        <v/>
      </c>
      <c r="E891" s="69" t="str">
        <f>IFERROR(INDEX(_Datos!E:E,MATCH(884,_Datos!$I:$I,0)),"")</f>
        <v/>
      </c>
      <c r="F891" s="67" t="str">
        <f>IFERROR(INDEX(_Datos!F:F,MATCH(884,_Datos!$I:$I,0)),"")</f>
        <v/>
      </c>
      <c r="G891" s="67" t="str">
        <f>IFERROR(INDEX(_Datos!G:G,MATCH(884,_Datos!$I:$I,0)),"")</f>
        <v/>
      </c>
      <c r="H891" s="70" t="str">
        <f>IFERROR(INDEX(_Datos!H:H,MATCH(884,_Datos!$I:$I,0)),"")</f>
        <v/>
      </c>
    </row>
    <row r="892" spans="1:8" x14ac:dyDescent="0.2">
      <c r="A892" s="63" t="str">
        <f>IFERROR(INDEX(_Datos!A:A,MATCH(885,_Datos!$I:$I,0)),"")</f>
        <v/>
      </c>
      <c r="B892" s="63" t="str">
        <f>IFERROR(INDEX(_Datos!B:B,MATCH(885,_Datos!$I:$I,0)),"")</f>
        <v/>
      </c>
      <c r="C892" s="63" t="str">
        <f>IFERROR(INDEX(_Datos!C:C,MATCH(885,_Datos!$I:$I,0)),"")</f>
        <v/>
      </c>
      <c r="D892" s="64" t="str">
        <f>IFERROR(INDEX(_Datos!D:D,MATCH(885,_Datos!$I:$I,0)),"")</f>
        <v/>
      </c>
      <c r="E892" s="65" t="str">
        <f>IFERROR(INDEX(_Datos!E:E,MATCH(885,_Datos!$I:$I,0)),"")</f>
        <v/>
      </c>
      <c r="F892" s="63" t="str">
        <f>IFERROR(INDEX(_Datos!F:F,MATCH(885,_Datos!$I:$I,0)),"")</f>
        <v/>
      </c>
      <c r="G892" s="63" t="str">
        <f>IFERROR(INDEX(_Datos!G:G,MATCH(885,_Datos!$I:$I,0)),"")</f>
        <v/>
      </c>
      <c r="H892" s="66" t="str">
        <f>IFERROR(INDEX(_Datos!H:H,MATCH(885,_Datos!$I:$I,0)),"")</f>
        <v/>
      </c>
    </row>
    <row r="893" spans="1:8" x14ac:dyDescent="0.2">
      <c r="A893" s="67" t="str">
        <f>IFERROR(INDEX(_Datos!A:A,MATCH(886,_Datos!$I:$I,0)),"")</f>
        <v/>
      </c>
      <c r="B893" s="67" t="str">
        <f>IFERROR(INDEX(_Datos!B:B,MATCH(886,_Datos!$I:$I,0)),"")</f>
        <v/>
      </c>
      <c r="C893" s="67" t="str">
        <f>IFERROR(INDEX(_Datos!C:C,MATCH(886,_Datos!$I:$I,0)),"")</f>
        <v/>
      </c>
      <c r="D893" s="68" t="str">
        <f>IFERROR(INDEX(_Datos!D:D,MATCH(886,_Datos!$I:$I,0)),"")</f>
        <v/>
      </c>
      <c r="E893" s="69" t="str">
        <f>IFERROR(INDEX(_Datos!E:E,MATCH(886,_Datos!$I:$I,0)),"")</f>
        <v/>
      </c>
      <c r="F893" s="67" t="str">
        <f>IFERROR(INDEX(_Datos!F:F,MATCH(886,_Datos!$I:$I,0)),"")</f>
        <v/>
      </c>
      <c r="G893" s="67" t="str">
        <f>IFERROR(INDEX(_Datos!G:G,MATCH(886,_Datos!$I:$I,0)),"")</f>
        <v/>
      </c>
      <c r="H893" s="70" t="str">
        <f>IFERROR(INDEX(_Datos!H:H,MATCH(886,_Datos!$I:$I,0)),"")</f>
        <v/>
      </c>
    </row>
    <row r="894" spans="1:8" x14ac:dyDescent="0.2">
      <c r="A894" s="63" t="str">
        <f>IFERROR(INDEX(_Datos!A:A,MATCH(887,_Datos!$I:$I,0)),"")</f>
        <v/>
      </c>
      <c r="B894" s="63" t="str">
        <f>IFERROR(INDEX(_Datos!B:B,MATCH(887,_Datos!$I:$I,0)),"")</f>
        <v/>
      </c>
      <c r="C894" s="63" t="str">
        <f>IFERROR(INDEX(_Datos!C:C,MATCH(887,_Datos!$I:$I,0)),"")</f>
        <v/>
      </c>
      <c r="D894" s="64" t="str">
        <f>IFERROR(INDEX(_Datos!D:D,MATCH(887,_Datos!$I:$I,0)),"")</f>
        <v/>
      </c>
      <c r="E894" s="65" t="str">
        <f>IFERROR(INDEX(_Datos!E:E,MATCH(887,_Datos!$I:$I,0)),"")</f>
        <v/>
      </c>
      <c r="F894" s="63" t="str">
        <f>IFERROR(INDEX(_Datos!F:F,MATCH(887,_Datos!$I:$I,0)),"")</f>
        <v/>
      </c>
      <c r="G894" s="63" t="str">
        <f>IFERROR(INDEX(_Datos!G:G,MATCH(887,_Datos!$I:$I,0)),"")</f>
        <v/>
      </c>
      <c r="H894" s="66" t="str">
        <f>IFERROR(INDEX(_Datos!H:H,MATCH(887,_Datos!$I:$I,0)),"")</f>
        <v/>
      </c>
    </row>
    <row r="895" spans="1:8" x14ac:dyDescent="0.2">
      <c r="A895" s="67" t="str">
        <f>IFERROR(INDEX(_Datos!A:A,MATCH(888,_Datos!$I:$I,0)),"")</f>
        <v/>
      </c>
      <c r="B895" s="67" t="str">
        <f>IFERROR(INDEX(_Datos!B:B,MATCH(888,_Datos!$I:$I,0)),"")</f>
        <v/>
      </c>
      <c r="C895" s="67" t="str">
        <f>IFERROR(INDEX(_Datos!C:C,MATCH(888,_Datos!$I:$I,0)),"")</f>
        <v/>
      </c>
      <c r="D895" s="68" t="str">
        <f>IFERROR(INDEX(_Datos!D:D,MATCH(888,_Datos!$I:$I,0)),"")</f>
        <v/>
      </c>
      <c r="E895" s="69" t="str">
        <f>IFERROR(INDEX(_Datos!E:E,MATCH(888,_Datos!$I:$I,0)),"")</f>
        <v/>
      </c>
      <c r="F895" s="67" t="str">
        <f>IFERROR(INDEX(_Datos!F:F,MATCH(888,_Datos!$I:$I,0)),"")</f>
        <v/>
      </c>
      <c r="G895" s="67" t="str">
        <f>IFERROR(INDEX(_Datos!G:G,MATCH(888,_Datos!$I:$I,0)),"")</f>
        <v/>
      </c>
      <c r="H895" s="70" t="str">
        <f>IFERROR(INDEX(_Datos!H:H,MATCH(888,_Datos!$I:$I,0)),"")</f>
        <v/>
      </c>
    </row>
    <row r="896" spans="1:8" x14ac:dyDescent="0.2">
      <c r="A896" s="63" t="str">
        <f>IFERROR(INDEX(_Datos!A:A,MATCH(889,_Datos!$I:$I,0)),"")</f>
        <v/>
      </c>
      <c r="B896" s="63" t="str">
        <f>IFERROR(INDEX(_Datos!B:B,MATCH(889,_Datos!$I:$I,0)),"")</f>
        <v/>
      </c>
      <c r="C896" s="63" t="str">
        <f>IFERROR(INDEX(_Datos!C:C,MATCH(889,_Datos!$I:$I,0)),"")</f>
        <v/>
      </c>
      <c r="D896" s="64" t="str">
        <f>IFERROR(INDEX(_Datos!D:D,MATCH(889,_Datos!$I:$I,0)),"")</f>
        <v/>
      </c>
      <c r="E896" s="65" t="str">
        <f>IFERROR(INDEX(_Datos!E:E,MATCH(889,_Datos!$I:$I,0)),"")</f>
        <v/>
      </c>
      <c r="F896" s="63" t="str">
        <f>IFERROR(INDEX(_Datos!F:F,MATCH(889,_Datos!$I:$I,0)),"")</f>
        <v/>
      </c>
      <c r="G896" s="63" t="str">
        <f>IFERROR(INDEX(_Datos!G:G,MATCH(889,_Datos!$I:$I,0)),"")</f>
        <v/>
      </c>
      <c r="H896" s="66" t="str">
        <f>IFERROR(INDEX(_Datos!H:H,MATCH(889,_Datos!$I:$I,0)),"")</f>
        <v/>
      </c>
    </row>
    <row r="897" spans="1:8" x14ac:dyDescent="0.2">
      <c r="A897" s="67" t="str">
        <f>IFERROR(INDEX(_Datos!A:A,MATCH(890,_Datos!$I:$I,0)),"")</f>
        <v/>
      </c>
      <c r="B897" s="67" t="str">
        <f>IFERROR(INDEX(_Datos!B:B,MATCH(890,_Datos!$I:$I,0)),"")</f>
        <v/>
      </c>
      <c r="C897" s="67" t="str">
        <f>IFERROR(INDEX(_Datos!C:C,MATCH(890,_Datos!$I:$I,0)),"")</f>
        <v/>
      </c>
      <c r="D897" s="68" t="str">
        <f>IFERROR(INDEX(_Datos!D:D,MATCH(890,_Datos!$I:$I,0)),"")</f>
        <v/>
      </c>
      <c r="E897" s="69" t="str">
        <f>IFERROR(INDEX(_Datos!E:E,MATCH(890,_Datos!$I:$I,0)),"")</f>
        <v/>
      </c>
      <c r="F897" s="67" t="str">
        <f>IFERROR(INDEX(_Datos!F:F,MATCH(890,_Datos!$I:$I,0)),"")</f>
        <v/>
      </c>
      <c r="G897" s="67" t="str">
        <f>IFERROR(INDEX(_Datos!G:G,MATCH(890,_Datos!$I:$I,0)),"")</f>
        <v/>
      </c>
      <c r="H897" s="70" t="str">
        <f>IFERROR(INDEX(_Datos!H:H,MATCH(890,_Datos!$I:$I,0)),"")</f>
        <v/>
      </c>
    </row>
    <row r="898" spans="1:8" x14ac:dyDescent="0.2">
      <c r="A898" s="63" t="str">
        <f>IFERROR(INDEX(_Datos!A:A,MATCH(891,_Datos!$I:$I,0)),"")</f>
        <v/>
      </c>
      <c r="B898" s="63" t="str">
        <f>IFERROR(INDEX(_Datos!B:B,MATCH(891,_Datos!$I:$I,0)),"")</f>
        <v/>
      </c>
      <c r="C898" s="63" t="str">
        <f>IFERROR(INDEX(_Datos!C:C,MATCH(891,_Datos!$I:$I,0)),"")</f>
        <v/>
      </c>
      <c r="D898" s="64" t="str">
        <f>IFERROR(INDEX(_Datos!D:D,MATCH(891,_Datos!$I:$I,0)),"")</f>
        <v/>
      </c>
      <c r="E898" s="65" t="str">
        <f>IFERROR(INDEX(_Datos!E:E,MATCH(891,_Datos!$I:$I,0)),"")</f>
        <v/>
      </c>
      <c r="F898" s="63" t="str">
        <f>IFERROR(INDEX(_Datos!F:F,MATCH(891,_Datos!$I:$I,0)),"")</f>
        <v/>
      </c>
      <c r="G898" s="63" t="str">
        <f>IFERROR(INDEX(_Datos!G:G,MATCH(891,_Datos!$I:$I,0)),"")</f>
        <v/>
      </c>
      <c r="H898" s="66" t="str">
        <f>IFERROR(INDEX(_Datos!H:H,MATCH(891,_Datos!$I:$I,0)),"")</f>
        <v/>
      </c>
    </row>
    <row r="899" spans="1:8" x14ac:dyDescent="0.2">
      <c r="A899" s="67" t="str">
        <f>IFERROR(INDEX(_Datos!A:A,MATCH(892,_Datos!$I:$I,0)),"")</f>
        <v/>
      </c>
      <c r="B899" s="67" t="str">
        <f>IFERROR(INDEX(_Datos!B:B,MATCH(892,_Datos!$I:$I,0)),"")</f>
        <v/>
      </c>
      <c r="C899" s="67" t="str">
        <f>IFERROR(INDEX(_Datos!C:C,MATCH(892,_Datos!$I:$I,0)),"")</f>
        <v/>
      </c>
      <c r="D899" s="68" t="str">
        <f>IFERROR(INDEX(_Datos!D:D,MATCH(892,_Datos!$I:$I,0)),"")</f>
        <v/>
      </c>
      <c r="E899" s="69" t="str">
        <f>IFERROR(INDEX(_Datos!E:E,MATCH(892,_Datos!$I:$I,0)),"")</f>
        <v/>
      </c>
      <c r="F899" s="67" t="str">
        <f>IFERROR(INDEX(_Datos!F:F,MATCH(892,_Datos!$I:$I,0)),"")</f>
        <v/>
      </c>
      <c r="G899" s="67" t="str">
        <f>IFERROR(INDEX(_Datos!G:G,MATCH(892,_Datos!$I:$I,0)),"")</f>
        <v/>
      </c>
      <c r="H899" s="70" t="str">
        <f>IFERROR(INDEX(_Datos!H:H,MATCH(892,_Datos!$I:$I,0)),"")</f>
        <v/>
      </c>
    </row>
    <row r="900" spans="1:8" x14ac:dyDescent="0.2">
      <c r="A900" s="63" t="str">
        <f>IFERROR(INDEX(_Datos!A:A,MATCH(893,_Datos!$I:$I,0)),"")</f>
        <v/>
      </c>
      <c r="B900" s="63" t="str">
        <f>IFERROR(INDEX(_Datos!B:B,MATCH(893,_Datos!$I:$I,0)),"")</f>
        <v/>
      </c>
      <c r="C900" s="63" t="str">
        <f>IFERROR(INDEX(_Datos!C:C,MATCH(893,_Datos!$I:$I,0)),"")</f>
        <v/>
      </c>
      <c r="D900" s="64" t="str">
        <f>IFERROR(INDEX(_Datos!D:D,MATCH(893,_Datos!$I:$I,0)),"")</f>
        <v/>
      </c>
      <c r="E900" s="65" t="str">
        <f>IFERROR(INDEX(_Datos!E:E,MATCH(893,_Datos!$I:$I,0)),"")</f>
        <v/>
      </c>
      <c r="F900" s="63" t="str">
        <f>IFERROR(INDEX(_Datos!F:F,MATCH(893,_Datos!$I:$I,0)),"")</f>
        <v/>
      </c>
      <c r="G900" s="63" t="str">
        <f>IFERROR(INDEX(_Datos!G:G,MATCH(893,_Datos!$I:$I,0)),"")</f>
        <v/>
      </c>
      <c r="H900" s="66" t="str">
        <f>IFERROR(INDEX(_Datos!H:H,MATCH(893,_Datos!$I:$I,0)),"")</f>
        <v/>
      </c>
    </row>
    <row r="901" spans="1:8" x14ac:dyDescent="0.2">
      <c r="A901" s="67" t="str">
        <f>IFERROR(INDEX(_Datos!A:A,MATCH(894,_Datos!$I:$I,0)),"")</f>
        <v/>
      </c>
      <c r="B901" s="67" t="str">
        <f>IFERROR(INDEX(_Datos!B:B,MATCH(894,_Datos!$I:$I,0)),"")</f>
        <v/>
      </c>
      <c r="C901" s="67" t="str">
        <f>IFERROR(INDEX(_Datos!C:C,MATCH(894,_Datos!$I:$I,0)),"")</f>
        <v/>
      </c>
      <c r="D901" s="68" t="str">
        <f>IFERROR(INDEX(_Datos!D:D,MATCH(894,_Datos!$I:$I,0)),"")</f>
        <v/>
      </c>
      <c r="E901" s="69" t="str">
        <f>IFERROR(INDEX(_Datos!E:E,MATCH(894,_Datos!$I:$I,0)),"")</f>
        <v/>
      </c>
      <c r="F901" s="67" t="str">
        <f>IFERROR(INDEX(_Datos!F:F,MATCH(894,_Datos!$I:$I,0)),"")</f>
        <v/>
      </c>
      <c r="G901" s="67" t="str">
        <f>IFERROR(INDEX(_Datos!G:G,MATCH(894,_Datos!$I:$I,0)),"")</f>
        <v/>
      </c>
      <c r="H901" s="70" t="str">
        <f>IFERROR(INDEX(_Datos!H:H,MATCH(894,_Datos!$I:$I,0)),"")</f>
        <v/>
      </c>
    </row>
    <row r="902" spans="1:8" x14ac:dyDescent="0.2">
      <c r="A902" s="63" t="str">
        <f>IFERROR(INDEX(_Datos!A:A,MATCH(895,_Datos!$I:$I,0)),"")</f>
        <v/>
      </c>
      <c r="B902" s="63" t="str">
        <f>IFERROR(INDEX(_Datos!B:B,MATCH(895,_Datos!$I:$I,0)),"")</f>
        <v/>
      </c>
      <c r="C902" s="63" t="str">
        <f>IFERROR(INDEX(_Datos!C:C,MATCH(895,_Datos!$I:$I,0)),"")</f>
        <v/>
      </c>
      <c r="D902" s="64" t="str">
        <f>IFERROR(INDEX(_Datos!D:D,MATCH(895,_Datos!$I:$I,0)),"")</f>
        <v/>
      </c>
      <c r="E902" s="65" t="str">
        <f>IFERROR(INDEX(_Datos!E:E,MATCH(895,_Datos!$I:$I,0)),"")</f>
        <v/>
      </c>
      <c r="F902" s="63" t="str">
        <f>IFERROR(INDEX(_Datos!F:F,MATCH(895,_Datos!$I:$I,0)),"")</f>
        <v/>
      </c>
      <c r="G902" s="63" t="str">
        <f>IFERROR(INDEX(_Datos!G:G,MATCH(895,_Datos!$I:$I,0)),"")</f>
        <v/>
      </c>
      <c r="H902" s="66" t="str">
        <f>IFERROR(INDEX(_Datos!H:H,MATCH(895,_Datos!$I:$I,0)),"")</f>
        <v/>
      </c>
    </row>
    <row r="903" spans="1:8" x14ac:dyDescent="0.2">
      <c r="A903" s="67" t="str">
        <f>IFERROR(INDEX(_Datos!A:A,MATCH(896,_Datos!$I:$I,0)),"")</f>
        <v/>
      </c>
      <c r="B903" s="67" t="str">
        <f>IFERROR(INDEX(_Datos!B:B,MATCH(896,_Datos!$I:$I,0)),"")</f>
        <v/>
      </c>
      <c r="C903" s="67" t="str">
        <f>IFERROR(INDEX(_Datos!C:C,MATCH(896,_Datos!$I:$I,0)),"")</f>
        <v/>
      </c>
      <c r="D903" s="68" t="str">
        <f>IFERROR(INDEX(_Datos!D:D,MATCH(896,_Datos!$I:$I,0)),"")</f>
        <v/>
      </c>
      <c r="E903" s="69" t="str">
        <f>IFERROR(INDEX(_Datos!E:E,MATCH(896,_Datos!$I:$I,0)),"")</f>
        <v/>
      </c>
      <c r="F903" s="67" t="str">
        <f>IFERROR(INDEX(_Datos!F:F,MATCH(896,_Datos!$I:$I,0)),"")</f>
        <v/>
      </c>
      <c r="G903" s="67" t="str">
        <f>IFERROR(INDEX(_Datos!G:G,MATCH(896,_Datos!$I:$I,0)),"")</f>
        <v/>
      </c>
      <c r="H903" s="70" t="str">
        <f>IFERROR(INDEX(_Datos!H:H,MATCH(896,_Datos!$I:$I,0)),"")</f>
        <v/>
      </c>
    </row>
    <row r="904" spans="1:8" x14ac:dyDescent="0.2">
      <c r="A904" s="63" t="str">
        <f>IFERROR(INDEX(_Datos!A:A,MATCH(897,_Datos!$I:$I,0)),"")</f>
        <v/>
      </c>
      <c r="B904" s="63" t="str">
        <f>IFERROR(INDEX(_Datos!B:B,MATCH(897,_Datos!$I:$I,0)),"")</f>
        <v/>
      </c>
      <c r="C904" s="63" t="str">
        <f>IFERROR(INDEX(_Datos!C:C,MATCH(897,_Datos!$I:$I,0)),"")</f>
        <v/>
      </c>
      <c r="D904" s="64" t="str">
        <f>IFERROR(INDEX(_Datos!D:D,MATCH(897,_Datos!$I:$I,0)),"")</f>
        <v/>
      </c>
      <c r="E904" s="65" t="str">
        <f>IFERROR(INDEX(_Datos!E:E,MATCH(897,_Datos!$I:$I,0)),"")</f>
        <v/>
      </c>
      <c r="F904" s="63" t="str">
        <f>IFERROR(INDEX(_Datos!F:F,MATCH(897,_Datos!$I:$I,0)),"")</f>
        <v/>
      </c>
      <c r="G904" s="63" t="str">
        <f>IFERROR(INDEX(_Datos!G:G,MATCH(897,_Datos!$I:$I,0)),"")</f>
        <v/>
      </c>
      <c r="H904" s="66" t="str">
        <f>IFERROR(INDEX(_Datos!H:H,MATCH(897,_Datos!$I:$I,0)),"")</f>
        <v/>
      </c>
    </row>
    <row r="905" spans="1:8" x14ac:dyDescent="0.2">
      <c r="A905" s="67" t="str">
        <f>IFERROR(INDEX(_Datos!A:A,MATCH(898,_Datos!$I:$I,0)),"")</f>
        <v/>
      </c>
      <c r="B905" s="67" t="str">
        <f>IFERROR(INDEX(_Datos!B:B,MATCH(898,_Datos!$I:$I,0)),"")</f>
        <v/>
      </c>
      <c r="C905" s="67" t="str">
        <f>IFERROR(INDEX(_Datos!C:C,MATCH(898,_Datos!$I:$I,0)),"")</f>
        <v/>
      </c>
      <c r="D905" s="68" t="str">
        <f>IFERROR(INDEX(_Datos!D:D,MATCH(898,_Datos!$I:$I,0)),"")</f>
        <v/>
      </c>
      <c r="E905" s="69" t="str">
        <f>IFERROR(INDEX(_Datos!E:E,MATCH(898,_Datos!$I:$I,0)),"")</f>
        <v/>
      </c>
      <c r="F905" s="67" t="str">
        <f>IFERROR(INDEX(_Datos!F:F,MATCH(898,_Datos!$I:$I,0)),"")</f>
        <v/>
      </c>
      <c r="G905" s="67" t="str">
        <f>IFERROR(INDEX(_Datos!G:G,MATCH(898,_Datos!$I:$I,0)),"")</f>
        <v/>
      </c>
      <c r="H905" s="70" t="str">
        <f>IFERROR(INDEX(_Datos!H:H,MATCH(898,_Datos!$I:$I,0)),"")</f>
        <v/>
      </c>
    </row>
    <row r="906" spans="1:8" x14ac:dyDescent="0.2">
      <c r="A906" s="63" t="str">
        <f>IFERROR(INDEX(_Datos!A:A,MATCH(899,_Datos!$I:$I,0)),"")</f>
        <v/>
      </c>
      <c r="B906" s="63" t="str">
        <f>IFERROR(INDEX(_Datos!B:B,MATCH(899,_Datos!$I:$I,0)),"")</f>
        <v/>
      </c>
      <c r="C906" s="63" t="str">
        <f>IFERROR(INDEX(_Datos!C:C,MATCH(899,_Datos!$I:$I,0)),"")</f>
        <v/>
      </c>
      <c r="D906" s="64" t="str">
        <f>IFERROR(INDEX(_Datos!D:D,MATCH(899,_Datos!$I:$I,0)),"")</f>
        <v/>
      </c>
      <c r="E906" s="65" t="str">
        <f>IFERROR(INDEX(_Datos!E:E,MATCH(899,_Datos!$I:$I,0)),"")</f>
        <v/>
      </c>
      <c r="F906" s="63" t="str">
        <f>IFERROR(INDEX(_Datos!F:F,MATCH(899,_Datos!$I:$I,0)),"")</f>
        <v/>
      </c>
      <c r="G906" s="63" t="str">
        <f>IFERROR(INDEX(_Datos!G:G,MATCH(899,_Datos!$I:$I,0)),"")</f>
        <v/>
      </c>
      <c r="H906" s="66" t="str">
        <f>IFERROR(INDEX(_Datos!H:H,MATCH(899,_Datos!$I:$I,0)),"")</f>
        <v/>
      </c>
    </row>
    <row r="907" spans="1:8" x14ac:dyDescent="0.2">
      <c r="A907" s="67" t="str">
        <f>IFERROR(INDEX(_Datos!A:A,MATCH(900,_Datos!$I:$I,0)),"")</f>
        <v/>
      </c>
      <c r="B907" s="67" t="str">
        <f>IFERROR(INDEX(_Datos!B:B,MATCH(900,_Datos!$I:$I,0)),"")</f>
        <v/>
      </c>
      <c r="C907" s="67" t="str">
        <f>IFERROR(INDEX(_Datos!C:C,MATCH(900,_Datos!$I:$I,0)),"")</f>
        <v/>
      </c>
      <c r="D907" s="68" t="str">
        <f>IFERROR(INDEX(_Datos!D:D,MATCH(900,_Datos!$I:$I,0)),"")</f>
        <v/>
      </c>
      <c r="E907" s="69" t="str">
        <f>IFERROR(INDEX(_Datos!E:E,MATCH(900,_Datos!$I:$I,0)),"")</f>
        <v/>
      </c>
      <c r="F907" s="67" t="str">
        <f>IFERROR(INDEX(_Datos!F:F,MATCH(900,_Datos!$I:$I,0)),"")</f>
        <v/>
      </c>
      <c r="G907" s="67" t="str">
        <f>IFERROR(INDEX(_Datos!G:G,MATCH(900,_Datos!$I:$I,0)),"")</f>
        <v/>
      </c>
      <c r="H907" s="70" t="str">
        <f>IFERROR(INDEX(_Datos!H:H,MATCH(900,_Datos!$I:$I,0)),"")</f>
        <v/>
      </c>
    </row>
    <row r="908" spans="1:8" x14ac:dyDescent="0.2">
      <c r="A908" s="63" t="str">
        <f>IFERROR(INDEX(_Datos!A:A,MATCH(901,_Datos!$I:$I,0)),"")</f>
        <v/>
      </c>
      <c r="B908" s="63" t="str">
        <f>IFERROR(INDEX(_Datos!B:B,MATCH(901,_Datos!$I:$I,0)),"")</f>
        <v/>
      </c>
      <c r="C908" s="63" t="str">
        <f>IFERROR(INDEX(_Datos!C:C,MATCH(901,_Datos!$I:$I,0)),"")</f>
        <v/>
      </c>
      <c r="D908" s="64" t="str">
        <f>IFERROR(INDEX(_Datos!D:D,MATCH(901,_Datos!$I:$I,0)),"")</f>
        <v/>
      </c>
      <c r="E908" s="65" t="str">
        <f>IFERROR(INDEX(_Datos!E:E,MATCH(901,_Datos!$I:$I,0)),"")</f>
        <v/>
      </c>
      <c r="F908" s="63" t="str">
        <f>IFERROR(INDEX(_Datos!F:F,MATCH(901,_Datos!$I:$I,0)),"")</f>
        <v/>
      </c>
      <c r="G908" s="63" t="str">
        <f>IFERROR(INDEX(_Datos!G:G,MATCH(901,_Datos!$I:$I,0)),"")</f>
        <v/>
      </c>
      <c r="H908" s="66" t="str">
        <f>IFERROR(INDEX(_Datos!H:H,MATCH(901,_Datos!$I:$I,0)),"")</f>
        <v/>
      </c>
    </row>
    <row r="909" spans="1:8" x14ac:dyDescent="0.2">
      <c r="A909" s="67" t="str">
        <f>IFERROR(INDEX(_Datos!A:A,MATCH(902,_Datos!$I:$I,0)),"")</f>
        <v/>
      </c>
      <c r="B909" s="67" t="str">
        <f>IFERROR(INDEX(_Datos!B:B,MATCH(902,_Datos!$I:$I,0)),"")</f>
        <v/>
      </c>
      <c r="C909" s="67" t="str">
        <f>IFERROR(INDEX(_Datos!C:C,MATCH(902,_Datos!$I:$I,0)),"")</f>
        <v/>
      </c>
      <c r="D909" s="68" t="str">
        <f>IFERROR(INDEX(_Datos!D:D,MATCH(902,_Datos!$I:$I,0)),"")</f>
        <v/>
      </c>
      <c r="E909" s="69" t="str">
        <f>IFERROR(INDEX(_Datos!E:E,MATCH(902,_Datos!$I:$I,0)),"")</f>
        <v/>
      </c>
      <c r="F909" s="67" t="str">
        <f>IFERROR(INDEX(_Datos!F:F,MATCH(902,_Datos!$I:$I,0)),"")</f>
        <v/>
      </c>
      <c r="G909" s="67" t="str">
        <f>IFERROR(INDEX(_Datos!G:G,MATCH(902,_Datos!$I:$I,0)),"")</f>
        <v/>
      </c>
      <c r="H909" s="70" t="str">
        <f>IFERROR(INDEX(_Datos!H:H,MATCH(902,_Datos!$I:$I,0)),"")</f>
        <v/>
      </c>
    </row>
    <row r="910" spans="1:8" x14ac:dyDescent="0.2">
      <c r="A910" s="63" t="str">
        <f>IFERROR(INDEX(_Datos!A:A,MATCH(903,_Datos!$I:$I,0)),"")</f>
        <v/>
      </c>
      <c r="B910" s="63" t="str">
        <f>IFERROR(INDEX(_Datos!B:B,MATCH(903,_Datos!$I:$I,0)),"")</f>
        <v/>
      </c>
      <c r="C910" s="63" t="str">
        <f>IFERROR(INDEX(_Datos!C:C,MATCH(903,_Datos!$I:$I,0)),"")</f>
        <v/>
      </c>
      <c r="D910" s="64" t="str">
        <f>IFERROR(INDEX(_Datos!D:D,MATCH(903,_Datos!$I:$I,0)),"")</f>
        <v/>
      </c>
      <c r="E910" s="65" t="str">
        <f>IFERROR(INDEX(_Datos!E:E,MATCH(903,_Datos!$I:$I,0)),"")</f>
        <v/>
      </c>
      <c r="F910" s="63" t="str">
        <f>IFERROR(INDEX(_Datos!F:F,MATCH(903,_Datos!$I:$I,0)),"")</f>
        <v/>
      </c>
      <c r="G910" s="63" t="str">
        <f>IFERROR(INDEX(_Datos!G:G,MATCH(903,_Datos!$I:$I,0)),"")</f>
        <v/>
      </c>
      <c r="H910" s="66" t="str">
        <f>IFERROR(INDEX(_Datos!H:H,MATCH(903,_Datos!$I:$I,0)),"")</f>
        <v/>
      </c>
    </row>
    <row r="911" spans="1:8" x14ac:dyDescent="0.2">
      <c r="A911" s="67" t="str">
        <f>IFERROR(INDEX(_Datos!A:A,MATCH(904,_Datos!$I:$I,0)),"")</f>
        <v/>
      </c>
      <c r="B911" s="67" t="str">
        <f>IFERROR(INDEX(_Datos!B:B,MATCH(904,_Datos!$I:$I,0)),"")</f>
        <v/>
      </c>
      <c r="C911" s="67" t="str">
        <f>IFERROR(INDEX(_Datos!C:C,MATCH(904,_Datos!$I:$I,0)),"")</f>
        <v/>
      </c>
      <c r="D911" s="68" t="str">
        <f>IFERROR(INDEX(_Datos!D:D,MATCH(904,_Datos!$I:$I,0)),"")</f>
        <v/>
      </c>
      <c r="E911" s="69" t="str">
        <f>IFERROR(INDEX(_Datos!E:E,MATCH(904,_Datos!$I:$I,0)),"")</f>
        <v/>
      </c>
      <c r="F911" s="67" t="str">
        <f>IFERROR(INDEX(_Datos!F:F,MATCH(904,_Datos!$I:$I,0)),"")</f>
        <v/>
      </c>
      <c r="G911" s="67" t="str">
        <f>IFERROR(INDEX(_Datos!G:G,MATCH(904,_Datos!$I:$I,0)),"")</f>
        <v/>
      </c>
      <c r="H911" s="70" t="str">
        <f>IFERROR(INDEX(_Datos!H:H,MATCH(904,_Datos!$I:$I,0)),"")</f>
        <v/>
      </c>
    </row>
    <row r="912" spans="1:8" x14ac:dyDescent="0.2">
      <c r="A912" s="63" t="str">
        <f>IFERROR(INDEX(_Datos!A:A,MATCH(905,_Datos!$I:$I,0)),"")</f>
        <v/>
      </c>
      <c r="B912" s="63" t="str">
        <f>IFERROR(INDEX(_Datos!B:B,MATCH(905,_Datos!$I:$I,0)),"")</f>
        <v/>
      </c>
      <c r="C912" s="63" t="str">
        <f>IFERROR(INDEX(_Datos!C:C,MATCH(905,_Datos!$I:$I,0)),"")</f>
        <v/>
      </c>
      <c r="D912" s="64" t="str">
        <f>IFERROR(INDEX(_Datos!D:D,MATCH(905,_Datos!$I:$I,0)),"")</f>
        <v/>
      </c>
      <c r="E912" s="65" t="str">
        <f>IFERROR(INDEX(_Datos!E:E,MATCH(905,_Datos!$I:$I,0)),"")</f>
        <v/>
      </c>
      <c r="F912" s="63" t="str">
        <f>IFERROR(INDEX(_Datos!F:F,MATCH(905,_Datos!$I:$I,0)),"")</f>
        <v/>
      </c>
      <c r="G912" s="63" t="str">
        <f>IFERROR(INDEX(_Datos!G:G,MATCH(905,_Datos!$I:$I,0)),"")</f>
        <v/>
      </c>
      <c r="H912" s="66" t="str">
        <f>IFERROR(INDEX(_Datos!H:H,MATCH(905,_Datos!$I:$I,0)),"")</f>
        <v/>
      </c>
    </row>
    <row r="913" spans="1:8" x14ac:dyDescent="0.2">
      <c r="A913" s="67" t="str">
        <f>IFERROR(INDEX(_Datos!A:A,MATCH(906,_Datos!$I:$I,0)),"")</f>
        <v/>
      </c>
      <c r="B913" s="67" t="str">
        <f>IFERROR(INDEX(_Datos!B:B,MATCH(906,_Datos!$I:$I,0)),"")</f>
        <v/>
      </c>
      <c r="C913" s="67" t="str">
        <f>IFERROR(INDEX(_Datos!C:C,MATCH(906,_Datos!$I:$I,0)),"")</f>
        <v/>
      </c>
      <c r="D913" s="68" t="str">
        <f>IFERROR(INDEX(_Datos!D:D,MATCH(906,_Datos!$I:$I,0)),"")</f>
        <v/>
      </c>
      <c r="E913" s="69" t="str">
        <f>IFERROR(INDEX(_Datos!E:E,MATCH(906,_Datos!$I:$I,0)),"")</f>
        <v/>
      </c>
      <c r="F913" s="67" t="str">
        <f>IFERROR(INDEX(_Datos!F:F,MATCH(906,_Datos!$I:$I,0)),"")</f>
        <v/>
      </c>
      <c r="G913" s="67" t="str">
        <f>IFERROR(INDEX(_Datos!G:G,MATCH(906,_Datos!$I:$I,0)),"")</f>
        <v/>
      </c>
      <c r="H913" s="70" t="str">
        <f>IFERROR(INDEX(_Datos!H:H,MATCH(906,_Datos!$I:$I,0)),"")</f>
        <v/>
      </c>
    </row>
    <row r="914" spans="1:8" x14ac:dyDescent="0.2">
      <c r="A914" s="63" t="str">
        <f>IFERROR(INDEX(_Datos!A:A,MATCH(907,_Datos!$I:$I,0)),"")</f>
        <v/>
      </c>
      <c r="B914" s="63" t="str">
        <f>IFERROR(INDEX(_Datos!B:B,MATCH(907,_Datos!$I:$I,0)),"")</f>
        <v/>
      </c>
      <c r="C914" s="63" t="str">
        <f>IFERROR(INDEX(_Datos!C:C,MATCH(907,_Datos!$I:$I,0)),"")</f>
        <v/>
      </c>
      <c r="D914" s="64" t="str">
        <f>IFERROR(INDEX(_Datos!D:D,MATCH(907,_Datos!$I:$I,0)),"")</f>
        <v/>
      </c>
      <c r="E914" s="65" t="str">
        <f>IFERROR(INDEX(_Datos!E:E,MATCH(907,_Datos!$I:$I,0)),"")</f>
        <v/>
      </c>
      <c r="F914" s="63" t="str">
        <f>IFERROR(INDEX(_Datos!F:F,MATCH(907,_Datos!$I:$I,0)),"")</f>
        <v/>
      </c>
      <c r="G914" s="63" t="str">
        <f>IFERROR(INDEX(_Datos!G:G,MATCH(907,_Datos!$I:$I,0)),"")</f>
        <v/>
      </c>
      <c r="H914" s="66" t="str">
        <f>IFERROR(INDEX(_Datos!H:H,MATCH(907,_Datos!$I:$I,0)),"")</f>
        <v/>
      </c>
    </row>
    <row r="915" spans="1:8" x14ac:dyDescent="0.2">
      <c r="A915" s="67" t="str">
        <f>IFERROR(INDEX(_Datos!A:A,MATCH(908,_Datos!$I:$I,0)),"")</f>
        <v/>
      </c>
      <c r="B915" s="67" t="str">
        <f>IFERROR(INDEX(_Datos!B:B,MATCH(908,_Datos!$I:$I,0)),"")</f>
        <v/>
      </c>
      <c r="C915" s="67" t="str">
        <f>IFERROR(INDEX(_Datos!C:C,MATCH(908,_Datos!$I:$I,0)),"")</f>
        <v/>
      </c>
      <c r="D915" s="68" t="str">
        <f>IFERROR(INDEX(_Datos!D:D,MATCH(908,_Datos!$I:$I,0)),"")</f>
        <v/>
      </c>
      <c r="E915" s="69" t="str">
        <f>IFERROR(INDEX(_Datos!E:E,MATCH(908,_Datos!$I:$I,0)),"")</f>
        <v/>
      </c>
      <c r="F915" s="67" t="str">
        <f>IFERROR(INDEX(_Datos!F:F,MATCH(908,_Datos!$I:$I,0)),"")</f>
        <v/>
      </c>
      <c r="G915" s="67" t="str">
        <f>IFERROR(INDEX(_Datos!G:G,MATCH(908,_Datos!$I:$I,0)),"")</f>
        <v/>
      </c>
      <c r="H915" s="70" t="str">
        <f>IFERROR(INDEX(_Datos!H:H,MATCH(908,_Datos!$I:$I,0)),"")</f>
        <v/>
      </c>
    </row>
    <row r="916" spans="1:8" x14ac:dyDescent="0.2">
      <c r="A916" s="63" t="str">
        <f>IFERROR(INDEX(_Datos!A:A,MATCH(909,_Datos!$I:$I,0)),"")</f>
        <v/>
      </c>
      <c r="B916" s="63" t="str">
        <f>IFERROR(INDEX(_Datos!B:B,MATCH(909,_Datos!$I:$I,0)),"")</f>
        <v/>
      </c>
      <c r="C916" s="63" t="str">
        <f>IFERROR(INDEX(_Datos!C:C,MATCH(909,_Datos!$I:$I,0)),"")</f>
        <v/>
      </c>
      <c r="D916" s="64" t="str">
        <f>IFERROR(INDEX(_Datos!D:D,MATCH(909,_Datos!$I:$I,0)),"")</f>
        <v/>
      </c>
      <c r="E916" s="65" t="str">
        <f>IFERROR(INDEX(_Datos!E:E,MATCH(909,_Datos!$I:$I,0)),"")</f>
        <v/>
      </c>
      <c r="F916" s="63" t="str">
        <f>IFERROR(INDEX(_Datos!F:F,MATCH(909,_Datos!$I:$I,0)),"")</f>
        <v/>
      </c>
      <c r="G916" s="63" t="str">
        <f>IFERROR(INDEX(_Datos!G:G,MATCH(909,_Datos!$I:$I,0)),"")</f>
        <v/>
      </c>
      <c r="H916" s="66" t="str">
        <f>IFERROR(INDEX(_Datos!H:H,MATCH(909,_Datos!$I:$I,0)),"")</f>
        <v/>
      </c>
    </row>
    <row r="917" spans="1:8" x14ac:dyDescent="0.2">
      <c r="A917" s="67" t="str">
        <f>IFERROR(INDEX(_Datos!A:A,MATCH(910,_Datos!$I:$I,0)),"")</f>
        <v/>
      </c>
      <c r="B917" s="67" t="str">
        <f>IFERROR(INDEX(_Datos!B:B,MATCH(910,_Datos!$I:$I,0)),"")</f>
        <v/>
      </c>
      <c r="C917" s="67" t="str">
        <f>IFERROR(INDEX(_Datos!C:C,MATCH(910,_Datos!$I:$I,0)),"")</f>
        <v/>
      </c>
      <c r="D917" s="68" t="str">
        <f>IFERROR(INDEX(_Datos!D:D,MATCH(910,_Datos!$I:$I,0)),"")</f>
        <v/>
      </c>
      <c r="E917" s="69" t="str">
        <f>IFERROR(INDEX(_Datos!E:E,MATCH(910,_Datos!$I:$I,0)),"")</f>
        <v/>
      </c>
      <c r="F917" s="67" t="str">
        <f>IFERROR(INDEX(_Datos!F:F,MATCH(910,_Datos!$I:$I,0)),"")</f>
        <v/>
      </c>
      <c r="G917" s="67" t="str">
        <f>IFERROR(INDEX(_Datos!G:G,MATCH(910,_Datos!$I:$I,0)),"")</f>
        <v/>
      </c>
      <c r="H917" s="70" t="str">
        <f>IFERROR(INDEX(_Datos!H:H,MATCH(910,_Datos!$I:$I,0)),"")</f>
        <v/>
      </c>
    </row>
    <row r="918" spans="1:8" x14ac:dyDescent="0.2">
      <c r="A918" s="63" t="str">
        <f>IFERROR(INDEX(_Datos!A:A,MATCH(911,_Datos!$I:$I,0)),"")</f>
        <v/>
      </c>
      <c r="B918" s="63" t="str">
        <f>IFERROR(INDEX(_Datos!B:B,MATCH(911,_Datos!$I:$I,0)),"")</f>
        <v/>
      </c>
      <c r="C918" s="63" t="str">
        <f>IFERROR(INDEX(_Datos!C:C,MATCH(911,_Datos!$I:$I,0)),"")</f>
        <v/>
      </c>
      <c r="D918" s="64" t="str">
        <f>IFERROR(INDEX(_Datos!D:D,MATCH(911,_Datos!$I:$I,0)),"")</f>
        <v/>
      </c>
      <c r="E918" s="65" t="str">
        <f>IFERROR(INDEX(_Datos!E:E,MATCH(911,_Datos!$I:$I,0)),"")</f>
        <v/>
      </c>
      <c r="F918" s="63" t="str">
        <f>IFERROR(INDEX(_Datos!F:F,MATCH(911,_Datos!$I:$I,0)),"")</f>
        <v/>
      </c>
      <c r="G918" s="63" t="str">
        <f>IFERROR(INDEX(_Datos!G:G,MATCH(911,_Datos!$I:$I,0)),"")</f>
        <v/>
      </c>
      <c r="H918" s="66" t="str">
        <f>IFERROR(INDEX(_Datos!H:H,MATCH(911,_Datos!$I:$I,0)),"")</f>
        <v/>
      </c>
    </row>
    <row r="919" spans="1:8" x14ac:dyDescent="0.2">
      <c r="A919" s="67" t="str">
        <f>IFERROR(INDEX(_Datos!A:A,MATCH(912,_Datos!$I:$I,0)),"")</f>
        <v/>
      </c>
      <c r="B919" s="67" t="str">
        <f>IFERROR(INDEX(_Datos!B:B,MATCH(912,_Datos!$I:$I,0)),"")</f>
        <v/>
      </c>
      <c r="C919" s="67" t="str">
        <f>IFERROR(INDEX(_Datos!C:C,MATCH(912,_Datos!$I:$I,0)),"")</f>
        <v/>
      </c>
      <c r="D919" s="68" t="str">
        <f>IFERROR(INDEX(_Datos!D:D,MATCH(912,_Datos!$I:$I,0)),"")</f>
        <v/>
      </c>
      <c r="E919" s="69" t="str">
        <f>IFERROR(INDEX(_Datos!E:E,MATCH(912,_Datos!$I:$I,0)),"")</f>
        <v/>
      </c>
      <c r="F919" s="67" t="str">
        <f>IFERROR(INDEX(_Datos!F:F,MATCH(912,_Datos!$I:$I,0)),"")</f>
        <v/>
      </c>
      <c r="G919" s="67" t="str">
        <f>IFERROR(INDEX(_Datos!G:G,MATCH(912,_Datos!$I:$I,0)),"")</f>
        <v/>
      </c>
      <c r="H919" s="70" t="str">
        <f>IFERROR(INDEX(_Datos!H:H,MATCH(912,_Datos!$I:$I,0)),"")</f>
        <v/>
      </c>
    </row>
    <row r="920" spans="1:8" x14ac:dyDescent="0.2">
      <c r="A920" s="63" t="str">
        <f>IFERROR(INDEX(_Datos!A:A,MATCH(913,_Datos!$I:$I,0)),"")</f>
        <v/>
      </c>
      <c r="B920" s="63" t="str">
        <f>IFERROR(INDEX(_Datos!B:B,MATCH(913,_Datos!$I:$I,0)),"")</f>
        <v/>
      </c>
      <c r="C920" s="63" t="str">
        <f>IFERROR(INDEX(_Datos!C:C,MATCH(913,_Datos!$I:$I,0)),"")</f>
        <v/>
      </c>
      <c r="D920" s="64" t="str">
        <f>IFERROR(INDEX(_Datos!D:D,MATCH(913,_Datos!$I:$I,0)),"")</f>
        <v/>
      </c>
      <c r="E920" s="65" t="str">
        <f>IFERROR(INDEX(_Datos!E:E,MATCH(913,_Datos!$I:$I,0)),"")</f>
        <v/>
      </c>
      <c r="F920" s="63" t="str">
        <f>IFERROR(INDEX(_Datos!F:F,MATCH(913,_Datos!$I:$I,0)),"")</f>
        <v/>
      </c>
      <c r="G920" s="63" t="str">
        <f>IFERROR(INDEX(_Datos!G:G,MATCH(913,_Datos!$I:$I,0)),"")</f>
        <v/>
      </c>
      <c r="H920" s="66" t="str">
        <f>IFERROR(INDEX(_Datos!H:H,MATCH(913,_Datos!$I:$I,0)),"")</f>
        <v/>
      </c>
    </row>
    <row r="921" spans="1:8" x14ac:dyDescent="0.2">
      <c r="A921" s="67" t="str">
        <f>IFERROR(INDEX(_Datos!A:A,MATCH(914,_Datos!$I:$I,0)),"")</f>
        <v/>
      </c>
      <c r="B921" s="67" t="str">
        <f>IFERROR(INDEX(_Datos!B:B,MATCH(914,_Datos!$I:$I,0)),"")</f>
        <v/>
      </c>
      <c r="C921" s="67" t="str">
        <f>IFERROR(INDEX(_Datos!C:C,MATCH(914,_Datos!$I:$I,0)),"")</f>
        <v/>
      </c>
      <c r="D921" s="68" t="str">
        <f>IFERROR(INDEX(_Datos!D:D,MATCH(914,_Datos!$I:$I,0)),"")</f>
        <v/>
      </c>
      <c r="E921" s="69" t="str">
        <f>IFERROR(INDEX(_Datos!E:E,MATCH(914,_Datos!$I:$I,0)),"")</f>
        <v/>
      </c>
      <c r="F921" s="67" t="str">
        <f>IFERROR(INDEX(_Datos!F:F,MATCH(914,_Datos!$I:$I,0)),"")</f>
        <v/>
      </c>
      <c r="G921" s="67" t="str">
        <f>IFERROR(INDEX(_Datos!G:G,MATCH(914,_Datos!$I:$I,0)),"")</f>
        <v/>
      </c>
      <c r="H921" s="70" t="str">
        <f>IFERROR(INDEX(_Datos!H:H,MATCH(914,_Datos!$I:$I,0)),"")</f>
        <v/>
      </c>
    </row>
    <row r="922" spans="1:8" x14ac:dyDescent="0.2">
      <c r="A922" s="63" t="str">
        <f>IFERROR(INDEX(_Datos!A:A,MATCH(915,_Datos!$I:$I,0)),"")</f>
        <v/>
      </c>
      <c r="B922" s="63" t="str">
        <f>IFERROR(INDEX(_Datos!B:B,MATCH(915,_Datos!$I:$I,0)),"")</f>
        <v/>
      </c>
      <c r="C922" s="63" t="str">
        <f>IFERROR(INDEX(_Datos!C:C,MATCH(915,_Datos!$I:$I,0)),"")</f>
        <v/>
      </c>
      <c r="D922" s="64" t="str">
        <f>IFERROR(INDEX(_Datos!D:D,MATCH(915,_Datos!$I:$I,0)),"")</f>
        <v/>
      </c>
      <c r="E922" s="65" t="str">
        <f>IFERROR(INDEX(_Datos!E:E,MATCH(915,_Datos!$I:$I,0)),"")</f>
        <v/>
      </c>
      <c r="F922" s="63" t="str">
        <f>IFERROR(INDEX(_Datos!F:F,MATCH(915,_Datos!$I:$I,0)),"")</f>
        <v/>
      </c>
      <c r="G922" s="63" t="str">
        <f>IFERROR(INDEX(_Datos!G:G,MATCH(915,_Datos!$I:$I,0)),"")</f>
        <v/>
      </c>
      <c r="H922" s="66" t="str">
        <f>IFERROR(INDEX(_Datos!H:H,MATCH(915,_Datos!$I:$I,0)),"")</f>
        <v/>
      </c>
    </row>
    <row r="923" spans="1:8" x14ac:dyDescent="0.2">
      <c r="A923" s="67" t="str">
        <f>IFERROR(INDEX(_Datos!A:A,MATCH(916,_Datos!$I:$I,0)),"")</f>
        <v/>
      </c>
      <c r="B923" s="67" t="str">
        <f>IFERROR(INDEX(_Datos!B:B,MATCH(916,_Datos!$I:$I,0)),"")</f>
        <v/>
      </c>
      <c r="C923" s="67" t="str">
        <f>IFERROR(INDEX(_Datos!C:C,MATCH(916,_Datos!$I:$I,0)),"")</f>
        <v/>
      </c>
      <c r="D923" s="68" t="str">
        <f>IFERROR(INDEX(_Datos!D:D,MATCH(916,_Datos!$I:$I,0)),"")</f>
        <v/>
      </c>
      <c r="E923" s="69" t="str">
        <f>IFERROR(INDEX(_Datos!E:E,MATCH(916,_Datos!$I:$I,0)),"")</f>
        <v/>
      </c>
      <c r="F923" s="67" t="str">
        <f>IFERROR(INDEX(_Datos!F:F,MATCH(916,_Datos!$I:$I,0)),"")</f>
        <v/>
      </c>
      <c r="G923" s="67" t="str">
        <f>IFERROR(INDEX(_Datos!G:G,MATCH(916,_Datos!$I:$I,0)),"")</f>
        <v/>
      </c>
      <c r="H923" s="70" t="str">
        <f>IFERROR(INDEX(_Datos!H:H,MATCH(916,_Datos!$I:$I,0)),"")</f>
        <v/>
      </c>
    </row>
    <row r="924" spans="1:8" x14ac:dyDescent="0.2">
      <c r="A924" s="63" t="str">
        <f>IFERROR(INDEX(_Datos!A:A,MATCH(917,_Datos!$I:$I,0)),"")</f>
        <v/>
      </c>
      <c r="B924" s="63" t="str">
        <f>IFERROR(INDEX(_Datos!B:B,MATCH(917,_Datos!$I:$I,0)),"")</f>
        <v/>
      </c>
      <c r="C924" s="63" t="str">
        <f>IFERROR(INDEX(_Datos!C:C,MATCH(917,_Datos!$I:$I,0)),"")</f>
        <v/>
      </c>
      <c r="D924" s="64" t="str">
        <f>IFERROR(INDEX(_Datos!D:D,MATCH(917,_Datos!$I:$I,0)),"")</f>
        <v/>
      </c>
      <c r="E924" s="65" t="str">
        <f>IFERROR(INDEX(_Datos!E:E,MATCH(917,_Datos!$I:$I,0)),"")</f>
        <v/>
      </c>
      <c r="F924" s="63" t="str">
        <f>IFERROR(INDEX(_Datos!F:F,MATCH(917,_Datos!$I:$I,0)),"")</f>
        <v/>
      </c>
      <c r="G924" s="63" t="str">
        <f>IFERROR(INDEX(_Datos!G:G,MATCH(917,_Datos!$I:$I,0)),"")</f>
        <v/>
      </c>
      <c r="H924" s="66" t="str">
        <f>IFERROR(INDEX(_Datos!H:H,MATCH(917,_Datos!$I:$I,0)),"")</f>
        <v/>
      </c>
    </row>
    <row r="925" spans="1:8" x14ac:dyDescent="0.2">
      <c r="A925" s="67" t="str">
        <f>IFERROR(INDEX(_Datos!A:A,MATCH(918,_Datos!$I:$I,0)),"")</f>
        <v/>
      </c>
      <c r="B925" s="67" t="str">
        <f>IFERROR(INDEX(_Datos!B:B,MATCH(918,_Datos!$I:$I,0)),"")</f>
        <v/>
      </c>
      <c r="C925" s="67" t="str">
        <f>IFERROR(INDEX(_Datos!C:C,MATCH(918,_Datos!$I:$I,0)),"")</f>
        <v/>
      </c>
      <c r="D925" s="68" t="str">
        <f>IFERROR(INDEX(_Datos!D:D,MATCH(918,_Datos!$I:$I,0)),"")</f>
        <v/>
      </c>
      <c r="E925" s="69" t="str">
        <f>IFERROR(INDEX(_Datos!E:E,MATCH(918,_Datos!$I:$I,0)),"")</f>
        <v/>
      </c>
      <c r="F925" s="67" t="str">
        <f>IFERROR(INDEX(_Datos!F:F,MATCH(918,_Datos!$I:$I,0)),"")</f>
        <v/>
      </c>
      <c r="G925" s="67" t="str">
        <f>IFERROR(INDEX(_Datos!G:G,MATCH(918,_Datos!$I:$I,0)),"")</f>
        <v/>
      </c>
      <c r="H925" s="70" t="str">
        <f>IFERROR(INDEX(_Datos!H:H,MATCH(918,_Datos!$I:$I,0)),"")</f>
        <v/>
      </c>
    </row>
    <row r="926" spans="1:8" x14ac:dyDescent="0.2">
      <c r="A926" s="63" t="str">
        <f>IFERROR(INDEX(_Datos!A:A,MATCH(919,_Datos!$I:$I,0)),"")</f>
        <v/>
      </c>
      <c r="B926" s="63" t="str">
        <f>IFERROR(INDEX(_Datos!B:B,MATCH(919,_Datos!$I:$I,0)),"")</f>
        <v/>
      </c>
      <c r="C926" s="63" t="str">
        <f>IFERROR(INDEX(_Datos!C:C,MATCH(919,_Datos!$I:$I,0)),"")</f>
        <v/>
      </c>
      <c r="D926" s="64" t="str">
        <f>IFERROR(INDEX(_Datos!D:D,MATCH(919,_Datos!$I:$I,0)),"")</f>
        <v/>
      </c>
      <c r="E926" s="65" t="str">
        <f>IFERROR(INDEX(_Datos!E:E,MATCH(919,_Datos!$I:$I,0)),"")</f>
        <v/>
      </c>
      <c r="F926" s="63" t="str">
        <f>IFERROR(INDEX(_Datos!F:F,MATCH(919,_Datos!$I:$I,0)),"")</f>
        <v/>
      </c>
      <c r="G926" s="63" t="str">
        <f>IFERROR(INDEX(_Datos!G:G,MATCH(919,_Datos!$I:$I,0)),"")</f>
        <v/>
      </c>
      <c r="H926" s="66" t="str">
        <f>IFERROR(INDEX(_Datos!H:H,MATCH(919,_Datos!$I:$I,0)),"")</f>
        <v/>
      </c>
    </row>
    <row r="927" spans="1:8" x14ac:dyDescent="0.2">
      <c r="A927" s="67" t="str">
        <f>IFERROR(INDEX(_Datos!A:A,MATCH(920,_Datos!$I:$I,0)),"")</f>
        <v/>
      </c>
      <c r="B927" s="67" t="str">
        <f>IFERROR(INDEX(_Datos!B:B,MATCH(920,_Datos!$I:$I,0)),"")</f>
        <v/>
      </c>
      <c r="C927" s="67" t="str">
        <f>IFERROR(INDEX(_Datos!C:C,MATCH(920,_Datos!$I:$I,0)),"")</f>
        <v/>
      </c>
      <c r="D927" s="68" t="str">
        <f>IFERROR(INDEX(_Datos!D:D,MATCH(920,_Datos!$I:$I,0)),"")</f>
        <v/>
      </c>
      <c r="E927" s="69" t="str">
        <f>IFERROR(INDEX(_Datos!E:E,MATCH(920,_Datos!$I:$I,0)),"")</f>
        <v/>
      </c>
      <c r="F927" s="67" t="str">
        <f>IFERROR(INDEX(_Datos!F:F,MATCH(920,_Datos!$I:$I,0)),"")</f>
        <v/>
      </c>
      <c r="G927" s="67" t="str">
        <f>IFERROR(INDEX(_Datos!G:G,MATCH(920,_Datos!$I:$I,0)),"")</f>
        <v/>
      </c>
      <c r="H927" s="70" t="str">
        <f>IFERROR(INDEX(_Datos!H:H,MATCH(920,_Datos!$I:$I,0)),"")</f>
        <v/>
      </c>
    </row>
    <row r="928" spans="1:8" x14ac:dyDescent="0.2">
      <c r="A928" s="63" t="str">
        <f>IFERROR(INDEX(_Datos!A:A,MATCH(921,_Datos!$I:$I,0)),"")</f>
        <v/>
      </c>
      <c r="B928" s="63" t="str">
        <f>IFERROR(INDEX(_Datos!B:B,MATCH(921,_Datos!$I:$I,0)),"")</f>
        <v/>
      </c>
      <c r="C928" s="63" t="str">
        <f>IFERROR(INDEX(_Datos!C:C,MATCH(921,_Datos!$I:$I,0)),"")</f>
        <v/>
      </c>
      <c r="D928" s="64" t="str">
        <f>IFERROR(INDEX(_Datos!D:D,MATCH(921,_Datos!$I:$I,0)),"")</f>
        <v/>
      </c>
      <c r="E928" s="65" t="str">
        <f>IFERROR(INDEX(_Datos!E:E,MATCH(921,_Datos!$I:$I,0)),"")</f>
        <v/>
      </c>
      <c r="F928" s="63" t="str">
        <f>IFERROR(INDEX(_Datos!F:F,MATCH(921,_Datos!$I:$I,0)),"")</f>
        <v/>
      </c>
      <c r="G928" s="63" t="str">
        <f>IFERROR(INDEX(_Datos!G:G,MATCH(921,_Datos!$I:$I,0)),"")</f>
        <v/>
      </c>
      <c r="H928" s="66" t="str">
        <f>IFERROR(INDEX(_Datos!H:H,MATCH(921,_Datos!$I:$I,0)),"")</f>
        <v/>
      </c>
    </row>
    <row r="929" spans="1:8" x14ac:dyDescent="0.2">
      <c r="A929" s="67" t="str">
        <f>IFERROR(INDEX(_Datos!A:A,MATCH(922,_Datos!$I:$I,0)),"")</f>
        <v/>
      </c>
      <c r="B929" s="67" t="str">
        <f>IFERROR(INDEX(_Datos!B:B,MATCH(922,_Datos!$I:$I,0)),"")</f>
        <v/>
      </c>
      <c r="C929" s="67" t="str">
        <f>IFERROR(INDEX(_Datos!C:C,MATCH(922,_Datos!$I:$I,0)),"")</f>
        <v/>
      </c>
      <c r="D929" s="68" t="str">
        <f>IFERROR(INDEX(_Datos!D:D,MATCH(922,_Datos!$I:$I,0)),"")</f>
        <v/>
      </c>
      <c r="E929" s="69" t="str">
        <f>IFERROR(INDEX(_Datos!E:E,MATCH(922,_Datos!$I:$I,0)),"")</f>
        <v/>
      </c>
      <c r="F929" s="67" t="str">
        <f>IFERROR(INDEX(_Datos!F:F,MATCH(922,_Datos!$I:$I,0)),"")</f>
        <v/>
      </c>
      <c r="G929" s="67" t="str">
        <f>IFERROR(INDEX(_Datos!G:G,MATCH(922,_Datos!$I:$I,0)),"")</f>
        <v/>
      </c>
      <c r="H929" s="70" t="str">
        <f>IFERROR(INDEX(_Datos!H:H,MATCH(922,_Datos!$I:$I,0)),"")</f>
        <v/>
      </c>
    </row>
    <row r="930" spans="1:8" x14ac:dyDescent="0.2">
      <c r="A930" s="63" t="str">
        <f>IFERROR(INDEX(_Datos!A:A,MATCH(923,_Datos!$I:$I,0)),"")</f>
        <v/>
      </c>
      <c r="B930" s="63" t="str">
        <f>IFERROR(INDEX(_Datos!B:B,MATCH(923,_Datos!$I:$I,0)),"")</f>
        <v/>
      </c>
      <c r="C930" s="63" t="str">
        <f>IFERROR(INDEX(_Datos!C:C,MATCH(923,_Datos!$I:$I,0)),"")</f>
        <v/>
      </c>
      <c r="D930" s="64" t="str">
        <f>IFERROR(INDEX(_Datos!D:D,MATCH(923,_Datos!$I:$I,0)),"")</f>
        <v/>
      </c>
      <c r="E930" s="65" t="str">
        <f>IFERROR(INDEX(_Datos!E:E,MATCH(923,_Datos!$I:$I,0)),"")</f>
        <v/>
      </c>
      <c r="F930" s="63" t="str">
        <f>IFERROR(INDEX(_Datos!F:F,MATCH(923,_Datos!$I:$I,0)),"")</f>
        <v/>
      </c>
      <c r="G930" s="63" t="str">
        <f>IFERROR(INDEX(_Datos!G:G,MATCH(923,_Datos!$I:$I,0)),"")</f>
        <v/>
      </c>
      <c r="H930" s="66" t="str">
        <f>IFERROR(INDEX(_Datos!H:H,MATCH(923,_Datos!$I:$I,0)),"")</f>
        <v/>
      </c>
    </row>
    <row r="931" spans="1:8" x14ac:dyDescent="0.2">
      <c r="A931" s="67" t="str">
        <f>IFERROR(INDEX(_Datos!A:A,MATCH(924,_Datos!$I:$I,0)),"")</f>
        <v/>
      </c>
      <c r="B931" s="67" t="str">
        <f>IFERROR(INDEX(_Datos!B:B,MATCH(924,_Datos!$I:$I,0)),"")</f>
        <v/>
      </c>
      <c r="C931" s="67" t="str">
        <f>IFERROR(INDEX(_Datos!C:C,MATCH(924,_Datos!$I:$I,0)),"")</f>
        <v/>
      </c>
      <c r="D931" s="68" t="str">
        <f>IFERROR(INDEX(_Datos!D:D,MATCH(924,_Datos!$I:$I,0)),"")</f>
        <v/>
      </c>
      <c r="E931" s="69" t="str">
        <f>IFERROR(INDEX(_Datos!E:E,MATCH(924,_Datos!$I:$I,0)),"")</f>
        <v/>
      </c>
      <c r="F931" s="67" t="str">
        <f>IFERROR(INDEX(_Datos!F:F,MATCH(924,_Datos!$I:$I,0)),"")</f>
        <v/>
      </c>
      <c r="G931" s="67" t="str">
        <f>IFERROR(INDEX(_Datos!G:G,MATCH(924,_Datos!$I:$I,0)),"")</f>
        <v/>
      </c>
      <c r="H931" s="70" t="str">
        <f>IFERROR(INDEX(_Datos!H:H,MATCH(924,_Datos!$I:$I,0)),"")</f>
        <v/>
      </c>
    </row>
    <row r="932" spans="1:8" x14ac:dyDescent="0.2">
      <c r="A932" s="63" t="str">
        <f>IFERROR(INDEX(_Datos!A:A,MATCH(925,_Datos!$I:$I,0)),"")</f>
        <v/>
      </c>
      <c r="B932" s="63" t="str">
        <f>IFERROR(INDEX(_Datos!B:B,MATCH(925,_Datos!$I:$I,0)),"")</f>
        <v/>
      </c>
      <c r="C932" s="63" t="str">
        <f>IFERROR(INDEX(_Datos!C:C,MATCH(925,_Datos!$I:$I,0)),"")</f>
        <v/>
      </c>
      <c r="D932" s="64" t="str">
        <f>IFERROR(INDEX(_Datos!D:D,MATCH(925,_Datos!$I:$I,0)),"")</f>
        <v/>
      </c>
      <c r="E932" s="65" t="str">
        <f>IFERROR(INDEX(_Datos!E:E,MATCH(925,_Datos!$I:$I,0)),"")</f>
        <v/>
      </c>
      <c r="F932" s="63" t="str">
        <f>IFERROR(INDEX(_Datos!F:F,MATCH(925,_Datos!$I:$I,0)),"")</f>
        <v/>
      </c>
      <c r="G932" s="63" t="str">
        <f>IFERROR(INDEX(_Datos!G:G,MATCH(925,_Datos!$I:$I,0)),"")</f>
        <v/>
      </c>
      <c r="H932" s="66" t="str">
        <f>IFERROR(INDEX(_Datos!H:H,MATCH(925,_Datos!$I:$I,0)),"")</f>
        <v/>
      </c>
    </row>
    <row r="933" spans="1:8" x14ac:dyDescent="0.2">
      <c r="A933" s="67" t="str">
        <f>IFERROR(INDEX(_Datos!A:A,MATCH(926,_Datos!$I:$I,0)),"")</f>
        <v/>
      </c>
      <c r="B933" s="67" t="str">
        <f>IFERROR(INDEX(_Datos!B:B,MATCH(926,_Datos!$I:$I,0)),"")</f>
        <v/>
      </c>
      <c r="C933" s="67" t="str">
        <f>IFERROR(INDEX(_Datos!C:C,MATCH(926,_Datos!$I:$I,0)),"")</f>
        <v/>
      </c>
      <c r="D933" s="68" t="str">
        <f>IFERROR(INDEX(_Datos!D:D,MATCH(926,_Datos!$I:$I,0)),"")</f>
        <v/>
      </c>
      <c r="E933" s="69" t="str">
        <f>IFERROR(INDEX(_Datos!E:E,MATCH(926,_Datos!$I:$I,0)),"")</f>
        <v/>
      </c>
      <c r="F933" s="67" t="str">
        <f>IFERROR(INDEX(_Datos!F:F,MATCH(926,_Datos!$I:$I,0)),"")</f>
        <v/>
      </c>
      <c r="G933" s="67" t="str">
        <f>IFERROR(INDEX(_Datos!G:G,MATCH(926,_Datos!$I:$I,0)),"")</f>
        <v/>
      </c>
      <c r="H933" s="70" t="str">
        <f>IFERROR(INDEX(_Datos!H:H,MATCH(926,_Datos!$I:$I,0)),"")</f>
        <v/>
      </c>
    </row>
    <row r="934" spans="1:8" x14ac:dyDescent="0.2">
      <c r="A934" s="63" t="str">
        <f>IFERROR(INDEX(_Datos!A:A,MATCH(927,_Datos!$I:$I,0)),"")</f>
        <v/>
      </c>
      <c r="B934" s="63" t="str">
        <f>IFERROR(INDEX(_Datos!B:B,MATCH(927,_Datos!$I:$I,0)),"")</f>
        <v/>
      </c>
      <c r="C934" s="63" t="str">
        <f>IFERROR(INDEX(_Datos!C:C,MATCH(927,_Datos!$I:$I,0)),"")</f>
        <v/>
      </c>
      <c r="D934" s="64" t="str">
        <f>IFERROR(INDEX(_Datos!D:D,MATCH(927,_Datos!$I:$I,0)),"")</f>
        <v/>
      </c>
      <c r="E934" s="65" t="str">
        <f>IFERROR(INDEX(_Datos!E:E,MATCH(927,_Datos!$I:$I,0)),"")</f>
        <v/>
      </c>
      <c r="F934" s="63" t="str">
        <f>IFERROR(INDEX(_Datos!F:F,MATCH(927,_Datos!$I:$I,0)),"")</f>
        <v/>
      </c>
      <c r="G934" s="63" t="str">
        <f>IFERROR(INDEX(_Datos!G:G,MATCH(927,_Datos!$I:$I,0)),"")</f>
        <v/>
      </c>
      <c r="H934" s="66" t="str">
        <f>IFERROR(INDEX(_Datos!H:H,MATCH(927,_Datos!$I:$I,0)),"")</f>
        <v/>
      </c>
    </row>
    <row r="935" spans="1:8" x14ac:dyDescent="0.2">
      <c r="A935" s="67" t="str">
        <f>IFERROR(INDEX(_Datos!A:A,MATCH(928,_Datos!$I:$I,0)),"")</f>
        <v/>
      </c>
      <c r="B935" s="67" t="str">
        <f>IFERROR(INDEX(_Datos!B:B,MATCH(928,_Datos!$I:$I,0)),"")</f>
        <v/>
      </c>
      <c r="C935" s="67" t="str">
        <f>IFERROR(INDEX(_Datos!C:C,MATCH(928,_Datos!$I:$I,0)),"")</f>
        <v/>
      </c>
      <c r="D935" s="68" t="str">
        <f>IFERROR(INDEX(_Datos!D:D,MATCH(928,_Datos!$I:$I,0)),"")</f>
        <v/>
      </c>
      <c r="E935" s="69" t="str">
        <f>IFERROR(INDEX(_Datos!E:E,MATCH(928,_Datos!$I:$I,0)),"")</f>
        <v/>
      </c>
      <c r="F935" s="67" t="str">
        <f>IFERROR(INDEX(_Datos!F:F,MATCH(928,_Datos!$I:$I,0)),"")</f>
        <v/>
      </c>
      <c r="G935" s="67" t="str">
        <f>IFERROR(INDEX(_Datos!G:G,MATCH(928,_Datos!$I:$I,0)),"")</f>
        <v/>
      </c>
      <c r="H935" s="70" t="str">
        <f>IFERROR(INDEX(_Datos!H:H,MATCH(928,_Datos!$I:$I,0)),"")</f>
        <v/>
      </c>
    </row>
    <row r="936" spans="1:8" x14ac:dyDescent="0.2">
      <c r="A936" s="63" t="str">
        <f>IFERROR(INDEX(_Datos!A:A,MATCH(929,_Datos!$I:$I,0)),"")</f>
        <v/>
      </c>
      <c r="B936" s="63" t="str">
        <f>IFERROR(INDEX(_Datos!B:B,MATCH(929,_Datos!$I:$I,0)),"")</f>
        <v/>
      </c>
      <c r="C936" s="63" t="str">
        <f>IFERROR(INDEX(_Datos!C:C,MATCH(929,_Datos!$I:$I,0)),"")</f>
        <v/>
      </c>
      <c r="D936" s="64" t="str">
        <f>IFERROR(INDEX(_Datos!D:D,MATCH(929,_Datos!$I:$I,0)),"")</f>
        <v/>
      </c>
      <c r="E936" s="65" t="str">
        <f>IFERROR(INDEX(_Datos!E:E,MATCH(929,_Datos!$I:$I,0)),"")</f>
        <v/>
      </c>
      <c r="F936" s="63" t="str">
        <f>IFERROR(INDEX(_Datos!F:F,MATCH(929,_Datos!$I:$I,0)),"")</f>
        <v/>
      </c>
      <c r="G936" s="63" t="str">
        <f>IFERROR(INDEX(_Datos!G:G,MATCH(929,_Datos!$I:$I,0)),"")</f>
        <v/>
      </c>
      <c r="H936" s="66" t="str">
        <f>IFERROR(INDEX(_Datos!H:H,MATCH(929,_Datos!$I:$I,0)),"")</f>
        <v/>
      </c>
    </row>
    <row r="937" spans="1:8" x14ac:dyDescent="0.2">
      <c r="A937" s="67" t="str">
        <f>IFERROR(INDEX(_Datos!A:A,MATCH(930,_Datos!$I:$I,0)),"")</f>
        <v/>
      </c>
      <c r="B937" s="67" t="str">
        <f>IFERROR(INDEX(_Datos!B:B,MATCH(930,_Datos!$I:$I,0)),"")</f>
        <v/>
      </c>
      <c r="C937" s="67" t="str">
        <f>IFERROR(INDEX(_Datos!C:C,MATCH(930,_Datos!$I:$I,0)),"")</f>
        <v/>
      </c>
      <c r="D937" s="68" t="str">
        <f>IFERROR(INDEX(_Datos!D:D,MATCH(930,_Datos!$I:$I,0)),"")</f>
        <v/>
      </c>
      <c r="E937" s="69" t="str">
        <f>IFERROR(INDEX(_Datos!E:E,MATCH(930,_Datos!$I:$I,0)),"")</f>
        <v/>
      </c>
      <c r="F937" s="67" t="str">
        <f>IFERROR(INDEX(_Datos!F:F,MATCH(930,_Datos!$I:$I,0)),"")</f>
        <v/>
      </c>
      <c r="G937" s="67" t="str">
        <f>IFERROR(INDEX(_Datos!G:G,MATCH(930,_Datos!$I:$I,0)),"")</f>
        <v/>
      </c>
      <c r="H937" s="70" t="str">
        <f>IFERROR(INDEX(_Datos!H:H,MATCH(930,_Datos!$I:$I,0)),"")</f>
        <v/>
      </c>
    </row>
    <row r="938" spans="1:8" x14ac:dyDescent="0.2">
      <c r="A938" s="63" t="str">
        <f>IFERROR(INDEX(_Datos!A:A,MATCH(931,_Datos!$I:$I,0)),"")</f>
        <v/>
      </c>
      <c r="B938" s="63" t="str">
        <f>IFERROR(INDEX(_Datos!B:B,MATCH(931,_Datos!$I:$I,0)),"")</f>
        <v/>
      </c>
      <c r="C938" s="63" t="str">
        <f>IFERROR(INDEX(_Datos!C:C,MATCH(931,_Datos!$I:$I,0)),"")</f>
        <v/>
      </c>
      <c r="D938" s="64" t="str">
        <f>IFERROR(INDEX(_Datos!D:D,MATCH(931,_Datos!$I:$I,0)),"")</f>
        <v/>
      </c>
      <c r="E938" s="65" t="str">
        <f>IFERROR(INDEX(_Datos!E:E,MATCH(931,_Datos!$I:$I,0)),"")</f>
        <v/>
      </c>
      <c r="F938" s="63" t="str">
        <f>IFERROR(INDEX(_Datos!F:F,MATCH(931,_Datos!$I:$I,0)),"")</f>
        <v/>
      </c>
      <c r="G938" s="63" t="str">
        <f>IFERROR(INDEX(_Datos!G:G,MATCH(931,_Datos!$I:$I,0)),"")</f>
        <v/>
      </c>
      <c r="H938" s="66" t="str">
        <f>IFERROR(INDEX(_Datos!H:H,MATCH(931,_Datos!$I:$I,0)),"")</f>
        <v/>
      </c>
    </row>
    <row r="939" spans="1:8" x14ac:dyDescent="0.2">
      <c r="A939" s="67" t="str">
        <f>IFERROR(INDEX(_Datos!A:A,MATCH(932,_Datos!$I:$I,0)),"")</f>
        <v/>
      </c>
      <c r="B939" s="67" t="str">
        <f>IFERROR(INDEX(_Datos!B:B,MATCH(932,_Datos!$I:$I,0)),"")</f>
        <v/>
      </c>
      <c r="C939" s="67" t="str">
        <f>IFERROR(INDEX(_Datos!C:C,MATCH(932,_Datos!$I:$I,0)),"")</f>
        <v/>
      </c>
      <c r="D939" s="68" t="str">
        <f>IFERROR(INDEX(_Datos!D:D,MATCH(932,_Datos!$I:$I,0)),"")</f>
        <v/>
      </c>
      <c r="E939" s="69" t="str">
        <f>IFERROR(INDEX(_Datos!E:E,MATCH(932,_Datos!$I:$I,0)),"")</f>
        <v/>
      </c>
      <c r="F939" s="67" t="str">
        <f>IFERROR(INDEX(_Datos!F:F,MATCH(932,_Datos!$I:$I,0)),"")</f>
        <v/>
      </c>
      <c r="G939" s="67" t="str">
        <f>IFERROR(INDEX(_Datos!G:G,MATCH(932,_Datos!$I:$I,0)),"")</f>
        <v/>
      </c>
      <c r="H939" s="70" t="str">
        <f>IFERROR(INDEX(_Datos!H:H,MATCH(932,_Datos!$I:$I,0)),"")</f>
        <v/>
      </c>
    </row>
    <row r="940" spans="1:8" x14ac:dyDescent="0.2">
      <c r="A940" s="63" t="str">
        <f>IFERROR(INDEX(_Datos!A:A,MATCH(933,_Datos!$I:$I,0)),"")</f>
        <v/>
      </c>
      <c r="B940" s="63" t="str">
        <f>IFERROR(INDEX(_Datos!B:B,MATCH(933,_Datos!$I:$I,0)),"")</f>
        <v/>
      </c>
      <c r="C940" s="63" t="str">
        <f>IFERROR(INDEX(_Datos!C:C,MATCH(933,_Datos!$I:$I,0)),"")</f>
        <v/>
      </c>
      <c r="D940" s="64" t="str">
        <f>IFERROR(INDEX(_Datos!D:D,MATCH(933,_Datos!$I:$I,0)),"")</f>
        <v/>
      </c>
      <c r="E940" s="65" t="str">
        <f>IFERROR(INDEX(_Datos!E:E,MATCH(933,_Datos!$I:$I,0)),"")</f>
        <v/>
      </c>
      <c r="F940" s="63" t="str">
        <f>IFERROR(INDEX(_Datos!F:F,MATCH(933,_Datos!$I:$I,0)),"")</f>
        <v/>
      </c>
      <c r="G940" s="63" t="str">
        <f>IFERROR(INDEX(_Datos!G:G,MATCH(933,_Datos!$I:$I,0)),"")</f>
        <v/>
      </c>
      <c r="H940" s="66" t="str">
        <f>IFERROR(INDEX(_Datos!H:H,MATCH(933,_Datos!$I:$I,0)),"")</f>
        <v/>
      </c>
    </row>
    <row r="941" spans="1:8" x14ac:dyDescent="0.2">
      <c r="A941" s="67" t="str">
        <f>IFERROR(INDEX(_Datos!A:A,MATCH(934,_Datos!$I:$I,0)),"")</f>
        <v/>
      </c>
      <c r="B941" s="67" t="str">
        <f>IFERROR(INDEX(_Datos!B:B,MATCH(934,_Datos!$I:$I,0)),"")</f>
        <v/>
      </c>
      <c r="C941" s="67" t="str">
        <f>IFERROR(INDEX(_Datos!C:C,MATCH(934,_Datos!$I:$I,0)),"")</f>
        <v/>
      </c>
      <c r="D941" s="68" t="str">
        <f>IFERROR(INDEX(_Datos!D:D,MATCH(934,_Datos!$I:$I,0)),"")</f>
        <v/>
      </c>
      <c r="E941" s="69" t="str">
        <f>IFERROR(INDEX(_Datos!E:E,MATCH(934,_Datos!$I:$I,0)),"")</f>
        <v/>
      </c>
      <c r="F941" s="67" t="str">
        <f>IFERROR(INDEX(_Datos!F:F,MATCH(934,_Datos!$I:$I,0)),"")</f>
        <v/>
      </c>
      <c r="G941" s="67" t="str">
        <f>IFERROR(INDEX(_Datos!G:G,MATCH(934,_Datos!$I:$I,0)),"")</f>
        <v/>
      </c>
      <c r="H941" s="70" t="str">
        <f>IFERROR(INDEX(_Datos!H:H,MATCH(934,_Datos!$I:$I,0)),"")</f>
        <v/>
      </c>
    </row>
    <row r="942" spans="1:8" x14ac:dyDescent="0.2">
      <c r="A942" s="63" t="str">
        <f>IFERROR(INDEX(_Datos!A:A,MATCH(935,_Datos!$I:$I,0)),"")</f>
        <v/>
      </c>
      <c r="B942" s="63" t="str">
        <f>IFERROR(INDEX(_Datos!B:B,MATCH(935,_Datos!$I:$I,0)),"")</f>
        <v/>
      </c>
      <c r="C942" s="63" t="str">
        <f>IFERROR(INDEX(_Datos!C:C,MATCH(935,_Datos!$I:$I,0)),"")</f>
        <v/>
      </c>
      <c r="D942" s="64" t="str">
        <f>IFERROR(INDEX(_Datos!D:D,MATCH(935,_Datos!$I:$I,0)),"")</f>
        <v/>
      </c>
      <c r="E942" s="65" t="str">
        <f>IFERROR(INDEX(_Datos!E:E,MATCH(935,_Datos!$I:$I,0)),"")</f>
        <v/>
      </c>
      <c r="F942" s="63" t="str">
        <f>IFERROR(INDEX(_Datos!F:F,MATCH(935,_Datos!$I:$I,0)),"")</f>
        <v/>
      </c>
      <c r="G942" s="63" t="str">
        <f>IFERROR(INDEX(_Datos!G:G,MATCH(935,_Datos!$I:$I,0)),"")</f>
        <v/>
      </c>
      <c r="H942" s="66" t="str">
        <f>IFERROR(INDEX(_Datos!H:H,MATCH(935,_Datos!$I:$I,0)),"")</f>
        <v/>
      </c>
    </row>
    <row r="943" spans="1:8" x14ac:dyDescent="0.2">
      <c r="A943" s="67" t="str">
        <f>IFERROR(INDEX(_Datos!A:A,MATCH(936,_Datos!$I:$I,0)),"")</f>
        <v/>
      </c>
      <c r="B943" s="67" t="str">
        <f>IFERROR(INDEX(_Datos!B:B,MATCH(936,_Datos!$I:$I,0)),"")</f>
        <v/>
      </c>
      <c r="C943" s="67" t="str">
        <f>IFERROR(INDEX(_Datos!C:C,MATCH(936,_Datos!$I:$I,0)),"")</f>
        <v/>
      </c>
      <c r="D943" s="68" t="str">
        <f>IFERROR(INDEX(_Datos!D:D,MATCH(936,_Datos!$I:$I,0)),"")</f>
        <v/>
      </c>
      <c r="E943" s="69" t="str">
        <f>IFERROR(INDEX(_Datos!E:E,MATCH(936,_Datos!$I:$I,0)),"")</f>
        <v/>
      </c>
      <c r="F943" s="67" t="str">
        <f>IFERROR(INDEX(_Datos!F:F,MATCH(936,_Datos!$I:$I,0)),"")</f>
        <v/>
      </c>
      <c r="G943" s="67" t="str">
        <f>IFERROR(INDEX(_Datos!G:G,MATCH(936,_Datos!$I:$I,0)),"")</f>
        <v/>
      </c>
      <c r="H943" s="70" t="str">
        <f>IFERROR(INDEX(_Datos!H:H,MATCH(936,_Datos!$I:$I,0)),"")</f>
        <v/>
      </c>
    </row>
    <row r="944" spans="1:8" x14ac:dyDescent="0.2">
      <c r="A944" s="63" t="str">
        <f>IFERROR(INDEX(_Datos!A:A,MATCH(937,_Datos!$I:$I,0)),"")</f>
        <v/>
      </c>
      <c r="B944" s="63" t="str">
        <f>IFERROR(INDEX(_Datos!B:B,MATCH(937,_Datos!$I:$I,0)),"")</f>
        <v/>
      </c>
      <c r="C944" s="63" t="str">
        <f>IFERROR(INDEX(_Datos!C:C,MATCH(937,_Datos!$I:$I,0)),"")</f>
        <v/>
      </c>
      <c r="D944" s="64" t="str">
        <f>IFERROR(INDEX(_Datos!D:D,MATCH(937,_Datos!$I:$I,0)),"")</f>
        <v/>
      </c>
      <c r="E944" s="65" t="str">
        <f>IFERROR(INDEX(_Datos!E:E,MATCH(937,_Datos!$I:$I,0)),"")</f>
        <v/>
      </c>
      <c r="F944" s="63" t="str">
        <f>IFERROR(INDEX(_Datos!F:F,MATCH(937,_Datos!$I:$I,0)),"")</f>
        <v/>
      </c>
      <c r="G944" s="63" t="str">
        <f>IFERROR(INDEX(_Datos!G:G,MATCH(937,_Datos!$I:$I,0)),"")</f>
        <v/>
      </c>
      <c r="H944" s="66" t="str">
        <f>IFERROR(INDEX(_Datos!H:H,MATCH(937,_Datos!$I:$I,0)),"")</f>
        <v/>
      </c>
    </row>
    <row r="945" spans="1:8" x14ac:dyDescent="0.2">
      <c r="A945" s="67" t="str">
        <f>IFERROR(INDEX(_Datos!A:A,MATCH(938,_Datos!$I:$I,0)),"")</f>
        <v/>
      </c>
      <c r="B945" s="67" t="str">
        <f>IFERROR(INDEX(_Datos!B:B,MATCH(938,_Datos!$I:$I,0)),"")</f>
        <v/>
      </c>
      <c r="C945" s="67" t="str">
        <f>IFERROR(INDEX(_Datos!C:C,MATCH(938,_Datos!$I:$I,0)),"")</f>
        <v/>
      </c>
      <c r="D945" s="68" t="str">
        <f>IFERROR(INDEX(_Datos!D:D,MATCH(938,_Datos!$I:$I,0)),"")</f>
        <v/>
      </c>
      <c r="E945" s="69" t="str">
        <f>IFERROR(INDEX(_Datos!E:E,MATCH(938,_Datos!$I:$I,0)),"")</f>
        <v/>
      </c>
      <c r="F945" s="67" t="str">
        <f>IFERROR(INDEX(_Datos!F:F,MATCH(938,_Datos!$I:$I,0)),"")</f>
        <v/>
      </c>
      <c r="G945" s="67" t="str">
        <f>IFERROR(INDEX(_Datos!G:G,MATCH(938,_Datos!$I:$I,0)),"")</f>
        <v/>
      </c>
      <c r="H945" s="70" t="str">
        <f>IFERROR(INDEX(_Datos!H:H,MATCH(938,_Datos!$I:$I,0)),"")</f>
        <v/>
      </c>
    </row>
    <row r="946" spans="1:8" x14ac:dyDescent="0.2">
      <c r="A946" s="63" t="str">
        <f>IFERROR(INDEX(_Datos!A:A,MATCH(939,_Datos!$I:$I,0)),"")</f>
        <v/>
      </c>
      <c r="B946" s="63" t="str">
        <f>IFERROR(INDEX(_Datos!B:B,MATCH(939,_Datos!$I:$I,0)),"")</f>
        <v/>
      </c>
      <c r="C946" s="63" t="str">
        <f>IFERROR(INDEX(_Datos!C:C,MATCH(939,_Datos!$I:$I,0)),"")</f>
        <v/>
      </c>
      <c r="D946" s="64" t="str">
        <f>IFERROR(INDEX(_Datos!D:D,MATCH(939,_Datos!$I:$I,0)),"")</f>
        <v/>
      </c>
      <c r="E946" s="65" t="str">
        <f>IFERROR(INDEX(_Datos!E:E,MATCH(939,_Datos!$I:$I,0)),"")</f>
        <v/>
      </c>
      <c r="F946" s="63" t="str">
        <f>IFERROR(INDEX(_Datos!F:F,MATCH(939,_Datos!$I:$I,0)),"")</f>
        <v/>
      </c>
      <c r="G946" s="63" t="str">
        <f>IFERROR(INDEX(_Datos!G:G,MATCH(939,_Datos!$I:$I,0)),"")</f>
        <v/>
      </c>
      <c r="H946" s="66" t="str">
        <f>IFERROR(INDEX(_Datos!H:H,MATCH(939,_Datos!$I:$I,0)),"")</f>
        <v/>
      </c>
    </row>
    <row r="947" spans="1:8" x14ac:dyDescent="0.2">
      <c r="A947" s="67" t="str">
        <f>IFERROR(INDEX(_Datos!A:A,MATCH(940,_Datos!$I:$I,0)),"")</f>
        <v/>
      </c>
      <c r="B947" s="67" t="str">
        <f>IFERROR(INDEX(_Datos!B:B,MATCH(940,_Datos!$I:$I,0)),"")</f>
        <v/>
      </c>
      <c r="C947" s="67" t="str">
        <f>IFERROR(INDEX(_Datos!C:C,MATCH(940,_Datos!$I:$I,0)),"")</f>
        <v/>
      </c>
      <c r="D947" s="68" t="str">
        <f>IFERROR(INDEX(_Datos!D:D,MATCH(940,_Datos!$I:$I,0)),"")</f>
        <v/>
      </c>
      <c r="E947" s="69" t="str">
        <f>IFERROR(INDEX(_Datos!E:E,MATCH(940,_Datos!$I:$I,0)),"")</f>
        <v/>
      </c>
      <c r="F947" s="67" t="str">
        <f>IFERROR(INDEX(_Datos!F:F,MATCH(940,_Datos!$I:$I,0)),"")</f>
        <v/>
      </c>
      <c r="G947" s="67" t="str">
        <f>IFERROR(INDEX(_Datos!G:G,MATCH(940,_Datos!$I:$I,0)),"")</f>
        <v/>
      </c>
      <c r="H947" s="70" t="str">
        <f>IFERROR(INDEX(_Datos!H:H,MATCH(940,_Datos!$I:$I,0)),"")</f>
        <v/>
      </c>
    </row>
    <row r="948" spans="1:8" x14ac:dyDescent="0.2">
      <c r="A948" s="63" t="str">
        <f>IFERROR(INDEX(_Datos!A:A,MATCH(941,_Datos!$I:$I,0)),"")</f>
        <v/>
      </c>
      <c r="B948" s="63" t="str">
        <f>IFERROR(INDEX(_Datos!B:B,MATCH(941,_Datos!$I:$I,0)),"")</f>
        <v/>
      </c>
      <c r="C948" s="63" t="str">
        <f>IFERROR(INDEX(_Datos!C:C,MATCH(941,_Datos!$I:$I,0)),"")</f>
        <v/>
      </c>
      <c r="D948" s="64" t="str">
        <f>IFERROR(INDEX(_Datos!D:D,MATCH(941,_Datos!$I:$I,0)),"")</f>
        <v/>
      </c>
      <c r="E948" s="65" t="str">
        <f>IFERROR(INDEX(_Datos!E:E,MATCH(941,_Datos!$I:$I,0)),"")</f>
        <v/>
      </c>
      <c r="F948" s="63" t="str">
        <f>IFERROR(INDEX(_Datos!F:F,MATCH(941,_Datos!$I:$I,0)),"")</f>
        <v/>
      </c>
      <c r="G948" s="63" t="str">
        <f>IFERROR(INDEX(_Datos!G:G,MATCH(941,_Datos!$I:$I,0)),"")</f>
        <v/>
      </c>
      <c r="H948" s="66" t="str">
        <f>IFERROR(INDEX(_Datos!H:H,MATCH(941,_Datos!$I:$I,0)),"")</f>
        <v/>
      </c>
    </row>
    <row r="949" spans="1:8" x14ac:dyDescent="0.2">
      <c r="A949" s="67" t="str">
        <f>IFERROR(INDEX(_Datos!A:A,MATCH(942,_Datos!$I:$I,0)),"")</f>
        <v/>
      </c>
      <c r="B949" s="67" t="str">
        <f>IFERROR(INDEX(_Datos!B:B,MATCH(942,_Datos!$I:$I,0)),"")</f>
        <v/>
      </c>
      <c r="C949" s="67" t="str">
        <f>IFERROR(INDEX(_Datos!C:C,MATCH(942,_Datos!$I:$I,0)),"")</f>
        <v/>
      </c>
      <c r="D949" s="68" t="str">
        <f>IFERROR(INDEX(_Datos!D:D,MATCH(942,_Datos!$I:$I,0)),"")</f>
        <v/>
      </c>
      <c r="E949" s="69" t="str">
        <f>IFERROR(INDEX(_Datos!E:E,MATCH(942,_Datos!$I:$I,0)),"")</f>
        <v/>
      </c>
      <c r="F949" s="67" t="str">
        <f>IFERROR(INDEX(_Datos!F:F,MATCH(942,_Datos!$I:$I,0)),"")</f>
        <v/>
      </c>
      <c r="G949" s="67" t="str">
        <f>IFERROR(INDEX(_Datos!G:G,MATCH(942,_Datos!$I:$I,0)),"")</f>
        <v/>
      </c>
      <c r="H949" s="70" t="str">
        <f>IFERROR(INDEX(_Datos!H:H,MATCH(942,_Datos!$I:$I,0)),"")</f>
        <v/>
      </c>
    </row>
    <row r="950" spans="1:8" x14ac:dyDescent="0.2">
      <c r="A950" s="63" t="str">
        <f>IFERROR(INDEX(_Datos!A:A,MATCH(943,_Datos!$I:$I,0)),"")</f>
        <v/>
      </c>
      <c r="B950" s="63" t="str">
        <f>IFERROR(INDEX(_Datos!B:B,MATCH(943,_Datos!$I:$I,0)),"")</f>
        <v/>
      </c>
      <c r="C950" s="63" t="str">
        <f>IFERROR(INDEX(_Datos!C:C,MATCH(943,_Datos!$I:$I,0)),"")</f>
        <v/>
      </c>
      <c r="D950" s="64" t="str">
        <f>IFERROR(INDEX(_Datos!D:D,MATCH(943,_Datos!$I:$I,0)),"")</f>
        <v/>
      </c>
      <c r="E950" s="65" t="str">
        <f>IFERROR(INDEX(_Datos!E:E,MATCH(943,_Datos!$I:$I,0)),"")</f>
        <v/>
      </c>
      <c r="F950" s="63" t="str">
        <f>IFERROR(INDEX(_Datos!F:F,MATCH(943,_Datos!$I:$I,0)),"")</f>
        <v/>
      </c>
      <c r="G950" s="63" t="str">
        <f>IFERROR(INDEX(_Datos!G:G,MATCH(943,_Datos!$I:$I,0)),"")</f>
        <v/>
      </c>
      <c r="H950" s="66" t="str">
        <f>IFERROR(INDEX(_Datos!H:H,MATCH(943,_Datos!$I:$I,0)),"")</f>
        <v/>
      </c>
    </row>
    <row r="951" spans="1:8" x14ac:dyDescent="0.2">
      <c r="A951" s="67" t="str">
        <f>IFERROR(INDEX(_Datos!A:A,MATCH(944,_Datos!$I:$I,0)),"")</f>
        <v/>
      </c>
      <c r="B951" s="67" t="str">
        <f>IFERROR(INDEX(_Datos!B:B,MATCH(944,_Datos!$I:$I,0)),"")</f>
        <v/>
      </c>
      <c r="C951" s="67" t="str">
        <f>IFERROR(INDEX(_Datos!C:C,MATCH(944,_Datos!$I:$I,0)),"")</f>
        <v/>
      </c>
      <c r="D951" s="68" t="str">
        <f>IFERROR(INDEX(_Datos!D:D,MATCH(944,_Datos!$I:$I,0)),"")</f>
        <v/>
      </c>
      <c r="E951" s="69" t="str">
        <f>IFERROR(INDEX(_Datos!E:E,MATCH(944,_Datos!$I:$I,0)),"")</f>
        <v/>
      </c>
      <c r="F951" s="67" t="str">
        <f>IFERROR(INDEX(_Datos!F:F,MATCH(944,_Datos!$I:$I,0)),"")</f>
        <v/>
      </c>
      <c r="G951" s="67" t="str">
        <f>IFERROR(INDEX(_Datos!G:G,MATCH(944,_Datos!$I:$I,0)),"")</f>
        <v/>
      </c>
      <c r="H951" s="70" t="str">
        <f>IFERROR(INDEX(_Datos!H:H,MATCH(944,_Datos!$I:$I,0)),"")</f>
        <v/>
      </c>
    </row>
    <row r="952" spans="1:8" x14ac:dyDescent="0.2">
      <c r="A952" s="63" t="str">
        <f>IFERROR(INDEX(_Datos!A:A,MATCH(945,_Datos!$I:$I,0)),"")</f>
        <v/>
      </c>
      <c r="B952" s="63" t="str">
        <f>IFERROR(INDEX(_Datos!B:B,MATCH(945,_Datos!$I:$I,0)),"")</f>
        <v/>
      </c>
      <c r="C952" s="63" t="str">
        <f>IFERROR(INDEX(_Datos!C:C,MATCH(945,_Datos!$I:$I,0)),"")</f>
        <v/>
      </c>
      <c r="D952" s="64" t="str">
        <f>IFERROR(INDEX(_Datos!D:D,MATCH(945,_Datos!$I:$I,0)),"")</f>
        <v/>
      </c>
      <c r="E952" s="65" t="str">
        <f>IFERROR(INDEX(_Datos!E:E,MATCH(945,_Datos!$I:$I,0)),"")</f>
        <v/>
      </c>
      <c r="F952" s="63" t="str">
        <f>IFERROR(INDEX(_Datos!F:F,MATCH(945,_Datos!$I:$I,0)),"")</f>
        <v/>
      </c>
      <c r="G952" s="63" t="str">
        <f>IFERROR(INDEX(_Datos!G:G,MATCH(945,_Datos!$I:$I,0)),"")</f>
        <v/>
      </c>
      <c r="H952" s="66" t="str">
        <f>IFERROR(INDEX(_Datos!H:H,MATCH(945,_Datos!$I:$I,0)),"")</f>
        <v/>
      </c>
    </row>
    <row r="953" spans="1:8" x14ac:dyDescent="0.2">
      <c r="A953" s="67" t="str">
        <f>IFERROR(INDEX(_Datos!A:A,MATCH(946,_Datos!$I:$I,0)),"")</f>
        <v/>
      </c>
      <c r="B953" s="67" t="str">
        <f>IFERROR(INDEX(_Datos!B:B,MATCH(946,_Datos!$I:$I,0)),"")</f>
        <v/>
      </c>
      <c r="C953" s="67" t="str">
        <f>IFERROR(INDEX(_Datos!C:C,MATCH(946,_Datos!$I:$I,0)),"")</f>
        <v/>
      </c>
      <c r="D953" s="68" t="str">
        <f>IFERROR(INDEX(_Datos!D:D,MATCH(946,_Datos!$I:$I,0)),"")</f>
        <v/>
      </c>
      <c r="E953" s="69" t="str">
        <f>IFERROR(INDEX(_Datos!E:E,MATCH(946,_Datos!$I:$I,0)),"")</f>
        <v/>
      </c>
      <c r="F953" s="67" t="str">
        <f>IFERROR(INDEX(_Datos!F:F,MATCH(946,_Datos!$I:$I,0)),"")</f>
        <v/>
      </c>
      <c r="G953" s="67" t="str">
        <f>IFERROR(INDEX(_Datos!G:G,MATCH(946,_Datos!$I:$I,0)),"")</f>
        <v/>
      </c>
      <c r="H953" s="70" t="str">
        <f>IFERROR(INDEX(_Datos!H:H,MATCH(946,_Datos!$I:$I,0)),"")</f>
        <v/>
      </c>
    </row>
    <row r="954" spans="1:8" x14ac:dyDescent="0.2">
      <c r="A954" s="63" t="str">
        <f>IFERROR(INDEX(_Datos!A:A,MATCH(947,_Datos!$I:$I,0)),"")</f>
        <v/>
      </c>
      <c r="B954" s="63" t="str">
        <f>IFERROR(INDEX(_Datos!B:B,MATCH(947,_Datos!$I:$I,0)),"")</f>
        <v/>
      </c>
      <c r="C954" s="63" t="str">
        <f>IFERROR(INDEX(_Datos!C:C,MATCH(947,_Datos!$I:$I,0)),"")</f>
        <v/>
      </c>
      <c r="D954" s="64" t="str">
        <f>IFERROR(INDEX(_Datos!D:D,MATCH(947,_Datos!$I:$I,0)),"")</f>
        <v/>
      </c>
      <c r="E954" s="65" t="str">
        <f>IFERROR(INDEX(_Datos!E:E,MATCH(947,_Datos!$I:$I,0)),"")</f>
        <v/>
      </c>
      <c r="F954" s="63" t="str">
        <f>IFERROR(INDEX(_Datos!F:F,MATCH(947,_Datos!$I:$I,0)),"")</f>
        <v/>
      </c>
      <c r="G954" s="63" t="str">
        <f>IFERROR(INDEX(_Datos!G:G,MATCH(947,_Datos!$I:$I,0)),"")</f>
        <v/>
      </c>
      <c r="H954" s="66" t="str">
        <f>IFERROR(INDEX(_Datos!H:H,MATCH(947,_Datos!$I:$I,0)),"")</f>
        <v/>
      </c>
    </row>
    <row r="955" spans="1:8" x14ac:dyDescent="0.2">
      <c r="A955" s="67" t="str">
        <f>IFERROR(INDEX(_Datos!A:A,MATCH(948,_Datos!$I:$I,0)),"")</f>
        <v/>
      </c>
      <c r="B955" s="67" t="str">
        <f>IFERROR(INDEX(_Datos!B:B,MATCH(948,_Datos!$I:$I,0)),"")</f>
        <v/>
      </c>
      <c r="C955" s="67" t="str">
        <f>IFERROR(INDEX(_Datos!C:C,MATCH(948,_Datos!$I:$I,0)),"")</f>
        <v/>
      </c>
      <c r="D955" s="68" t="str">
        <f>IFERROR(INDEX(_Datos!D:D,MATCH(948,_Datos!$I:$I,0)),"")</f>
        <v/>
      </c>
      <c r="E955" s="69" t="str">
        <f>IFERROR(INDEX(_Datos!E:E,MATCH(948,_Datos!$I:$I,0)),"")</f>
        <v/>
      </c>
      <c r="F955" s="67" t="str">
        <f>IFERROR(INDEX(_Datos!F:F,MATCH(948,_Datos!$I:$I,0)),"")</f>
        <v/>
      </c>
      <c r="G955" s="67" t="str">
        <f>IFERROR(INDEX(_Datos!G:G,MATCH(948,_Datos!$I:$I,0)),"")</f>
        <v/>
      </c>
      <c r="H955" s="70" t="str">
        <f>IFERROR(INDEX(_Datos!H:H,MATCH(948,_Datos!$I:$I,0)),"")</f>
        <v/>
      </c>
    </row>
    <row r="956" spans="1:8" x14ac:dyDescent="0.2">
      <c r="A956" s="63" t="str">
        <f>IFERROR(INDEX(_Datos!A:A,MATCH(949,_Datos!$I:$I,0)),"")</f>
        <v/>
      </c>
      <c r="B956" s="63" t="str">
        <f>IFERROR(INDEX(_Datos!B:B,MATCH(949,_Datos!$I:$I,0)),"")</f>
        <v/>
      </c>
      <c r="C956" s="63" t="str">
        <f>IFERROR(INDEX(_Datos!C:C,MATCH(949,_Datos!$I:$I,0)),"")</f>
        <v/>
      </c>
      <c r="D956" s="64" t="str">
        <f>IFERROR(INDEX(_Datos!D:D,MATCH(949,_Datos!$I:$I,0)),"")</f>
        <v/>
      </c>
      <c r="E956" s="65" t="str">
        <f>IFERROR(INDEX(_Datos!E:E,MATCH(949,_Datos!$I:$I,0)),"")</f>
        <v/>
      </c>
      <c r="F956" s="63" t="str">
        <f>IFERROR(INDEX(_Datos!F:F,MATCH(949,_Datos!$I:$I,0)),"")</f>
        <v/>
      </c>
      <c r="G956" s="63" t="str">
        <f>IFERROR(INDEX(_Datos!G:G,MATCH(949,_Datos!$I:$I,0)),"")</f>
        <v/>
      </c>
      <c r="H956" s="66" t="str">
        <f>IFERROR(INDEX(_Datos!H:H,MATCH(949,_Datos!$I:$I,0)),"")</f>
        <v/>
      </c>
    </row>
    <row r="957" spans="1:8" x14ac:dyDescent="0.2">
      <c r="A957" s="67" t="str">
        <f>IFERROR(INDEX(_Datos!A:A,MATCH(950,_Datos!$I:$I,0)),"")</f>
        <v/>
      </c>
      <c r="B957" s="67" t="str">
        <f>IFERROR(INDEX(_Datos!B:B,MATCH(950,_Datos!$I:$I,0)),"")</f>
        <v/>
      </c>
      <c r="C957" s="67" t="str">
        <f>IFERROR(INDEX(_Datos!C:C,MATCH(950,_Datos!$I:$I,0)),"")</f>
        <v/>
      </c>
      <c r="D957" s="68" t="str">
        <f>IFERROR(INDEX(_Datos!D:D,MATCH(950,_Datos!$I:$I,0)),"")</f>
        <v/>
      </c>
      <c r="E957" s="69" t="str">
        <f>IFERROR(INDEX(_Datos!E:E,MATCH(950,_Datos!$I:$I,0)),"")</f>
        <v/>
      </c>
      <c r="F957" s="67" t="str">
        <f>IFERROR(INDEX(_Datos!F:F,MATCH(950,_Datos!$I:$I,0)),"")</f>
        <v/>
      </c>
      <c r="G957" s="67" t="str">
        <f>IFERROR(INDEX(_Datos!G:G,MATCH(950,_Datos!$I:$I,0)),"")</f>
        <v/>
      </c>
      <c r="H957" s="70" t="str">
        <f>IFERROR(INDEX(_Datos!H:H,MATCH(950,_Datos!$I:$I,0)),"")</f>
        <v/>
      </c>
    </row>
    <row r="958" spans="1:8" x14ac:dyDescent="0.2">
      <c r="A958" s="63" t="str">
        <f>IFERROR(INDEX(_Datos!A:A,MATCH(951,_Datos!$I:$I,0)),"")</f>
        <v/>
      </c>
      <c r="B958" s="63" t="str">
        <f>IFERROR(INDEX(_Datos!B:B,MATCH(951,_Datos!$I:$I,0)),"")</f>
        <v/>
      </c>
      <c r="C958" s="63" t="str">
        <f>IFERROR(INDEX(_Datos!C:C,MATCH(951,_Datos!$I:$I,0)),"")</f>
        <v/>
      </c>
      <c r="D958" s="64" t="str">
        <f>IFERROR(INDEX(_Datos!D:D,MATCH(951,_Datos!$I:$I,0)),"")</f>
        <v/>
      </c>
      <c r="E958" s="65" t="str">
        <f>IFERROR(INDEX(_Datos!E:E,MATCH(951,_Datos!$I:$I,0)),"")</f>
        <v/>
      </c>
      <c r="F958" s="63" t="str">
        <f>IFERROR(INDEX(_Datos!F:F,MATCH(951,_Datos!$I:$I,0)),"")</f>
        <v/>
      </c>
      <c r="G958" s="63" t="str">
        <f>IFERROR(INDEX(_Datos!G:G,MATCH(951,_Datos!$I:$I,0)),"")</f>
        <v/>
      </c>
      <c r="H958" s="66" t="str">
        <f>IFERROR(INDEX(_Datos!H:H,MATCH(951,_Datos!$I:$I,0)),"")</f>
        <v/>
      </c>
    </row>
    <row r="959" spans="1:8" x14ac:dyDescent="0.2">
      <c r="A959" s="67" t="str">
        <f>IFERROR(INDEX(_Datos!A:A,MATCH(952,_Datos!$I:$I,0)),"")</f>
        <v/>
      </c>
      <c r="B959" s="67" t="str">
        <f>IFERROR(INDEX(_Datos!B:B,MATCH(952,_Datos!$I:$I,0)),"")</f>
        <v/>
      </c>
      <c r="C959" s="67" t="str">
        <f>IFERROR(INDEX(_Datos!C:C,MATCH(952,_Datos!$I:$I,0)),"")</f>
        <v/>
      </c>
      <c r="D959" s="68" t="str">
        <f>IFERROR(INDEX(_Datos!D:D,MATCH(952,_Datos!$I:$I,0)),"")</f>
        <v/>
      </c>
      <c r="E959" s="69" t="str">
        <f>IFERROR(INDEX(_Datos!E:E,MATCH(952,_Datos!$I:$I,0)),"")</f>
        <v/>
      </c>
      <c r="F959" s="67" t="str">
        <f>IFERROR(INDEX(_Datos!F:F,MATCH(952,_Datos!$I:$I,0)),"")</f>
        <v/>
      </c>
      <c r="G959" s="67" t="str">
        <f>IFERROR(INDEX(_Datos!G:G,MATCH(952,_Datos!$I:$I,0)),"")</f>
        <v/>
      </c>
      <c r="H959" s="70" t="str">
        <f>IFERROR(INDEX(_Datos!H:H,MATCH(952,_Datos!$I:$I,0)),"")</f>
        <v/>
      </c>
    </row>
    <row r="960" spans="1:8" x14ac:dyDescent="0.2">
      <c r="A960" s="63" t="str">
        <f>IFERROR(INDEX(_Datos!A:A,MATCH(953,_Datos!$I:$I,0)),"")</f>
        <v/>
      </c>
      <c r="B960" s="63" t="str">
        <f>IFERROR(INDEX(_Datos!B:B,MATCH(953,_Datos!$I:$I,0)),"")</f>
        <v/>
      </c>
      <c r="C960" s="63" t="str">
        <f>IFERROR(INDEX(_Datos!C:C,MATCH(953,_Datos!$I:$I,0)),"")</f>
        <v/>
      </c>
      <c r="D960" s="64" t="str">
        <f>IFERROR(INDEX(_Datos!D:D,MATCH(953,_Datos!$I:$I,0)),"")</f>
        <v/>
      </c>
      <c r="E960" s="65" t="str">
        <f>IFERROR(INDEX(_Datos!E:E,MATCH(953,_Datos!$I:$I,0)),"")</f>
        <v/>
      </c>
      <c r="F960" s="63" t="str">
        <f>IFERROR(INDEX(_Datos!F:F,MATCH(953,_Datos!$I:$I,0)),"")</f>
        <v/>
      </c>
      <c r="G960" s="63" t="str">
        <f>IFERROR(INDEX(_Datos!G:G,MATCH(953,_Datos!$I:$I,0)),"")</f>
        <v/>
      </c>
      <c r="H960" s="66" t="str">
        <f>IFERROR(INDEX(_Datos!H:H,MATCH(953,_Datos!$I:$I,0)),"")</f>
        <v/>
      </c>
    </row>
    <row r="961" spans="1:8" x14ac:dyDescent="0.2">
      <c r="A961" s="67" t="str">
        <f>IFERROR(INDEX(_Datos!A:A,MATCH(954,_Datos!$I:$I,0)),"")</f>
        <v/>
      </c>
      <c r="B961" s="67" t="str">
        <f>IFERROR(INDEX(_Datos!B:B,MATCH(954,_Datos!$I:$I,0)),"")</f>
        <v/>
      </c>
      <c r="C961" s="67" t="str">
        <f>IFERROR(INDEX(_Datos!C:C,MATCH(954,_Datos!$I:$I,0)),"")</f>
        <v/>
      </c>
      <c r="D961" s="68" t="str">
        <f>IFERROR(INDEX(_Datos!D:D,MATCH(954,_Datos!$I:$I,0)),"")</f>
        <v/>
      </c>
      <c r="E961" s="69" t="str">
        <f>IFERROR(INDEX(_Datos!E:E,MATCH(954,_Datos!$I:$I,0)),"")</f>
        <v/>
      </c>
      <c r="F961" s="67" t="str">
        <f>IFERROR(INDEX(_Datos!F:F,MATCH(954,_Datos!$I:$I,0)),"")</f>
        <v/>
      </c>
      <c r="G961" s="67" t="str">
        <f>IFERROR(INDEX(_Datos!G:G,MATCH(954,_Datos!$I:$I,0)),"")</f>
        <v/>
      </c>
      <c r="H961" s="70" t="str">
        <f>IFERROR(INDEX(_Datos!H:H,MATCH(954,_Datos!$I:$I,0)),"")</f>
        <v/>
      </c>
    </row>
    <row r="962" spans="1:8" x14ac:dyDescent="0.2">
      <c r="A962" s="63" t="str">
        <f>IFERROR(INDEX(_Datos!A:A,MATCH(955,_Datos!$I:$I,0)),"")</f>
        <v/>
      </c>
      <c r="B962" s="63" t="str">
        <f>IFERROR(INDEX(_Datos!B:B,MATCH(955,_Datos!$I:$I,0)),"")</f>
        <v/>
      </c>
      <c r="C962" s="63" t="str">
        <f>IFERROR(INDEX(_Datos!C:C,MATCH(955,_Datos!$I:$I,0)),"")</f>
        <v/>
      </c>
      <c r="D962" s="64" t="str">
        <f>IFERROR(INDEX(_Datos!D:D,MATCH(955,_Datos!$I:$I,0)),"")</f>
        <v/>
      </c>
      <c r="E962" s="65" t="str">
        <f>IFERROR(INDEX(_Datos!E:E,MATCH(955,_Datos!$I:$I,0)),"")</f>
        <v/>
      </c>
      <c r="F962" s="63" t="str">
        <f>IFERROR(INDEX(_Datos!F:F,MATCH(955,_Datos!$I:$I,0)),"")</f>
        <v/>
      </c>
      <c r="G962" s="63" t="str">
        <f>IFERROR(INDEX(_Datos!G:G,MATCH(955,_Datos!$I:$I,0)),"")</f>
        <v/>
      </c>
      <c r="H962" s="66" t="str">
        <f>IFERROR(INDEX(_Datos!H:H,MATCH(955,_Datos!$I:$I,0)),"")</f>
        <v/>
      </c>
    </row>
    <row r="963" spans="1:8" x14ac:dyDescent="0.2">
      <c r="A963" s="67" t="str">
        <f>IFERROR(INDEX(_Datos!A:A,MATCH(956,_Datos!$I:$I,0)),"")</f>
        <v/>
      </c>
      <c r="B963" s="67" t="str">
        <f>IFERROR(INDEX(_Datos!B:B,MATCH(956,_Datos!$I:$I,0)),"")</f>
        <v/>
      </c>
      <c r="C963" s="67" t="str">
        <f>IFERROR(INDEX(_Datos!C:C,MATCH(956,_Datos!$I:$I,0)),"")</f>
        <v/>
      </c>
      <c r="D963" s="68" t="str">
        <f>IFERROR(INDEX(_Datos!D:D,MATCH(956,_Datos!$I:$I,0)),"")</f>
        <v/>
      </c>
      <c r="E963" s="69" t="str">
        <f>IFERROR(INDEX(_Datos!E:E,MATCH(956,_Datos!$I:$I,0)),"")</f>
        <v/>
      </c>
      <c r="F963" s="67" t="str">
        <f>IFERROR(INDEX(_Datos!F:F,MATCH(956,_Datos!$I:$I,0)),"")</f>
        <v/>
      </c>
      <c r="G963" s="67" t="str">
        <f>IFERROR(INDEX(_Datos!G:G,MATCH(956,_Datos!$I:$I,0)),"")</f>
        <v/>
      </c>
      <c r="H963" s="70" t="str">
        <f>IFERROR(INDEX(_Datos!H:H,MATCH(956,_Datos!$I:$I,0)),"")</f>
        <v/>
      </c>
    </row>
    <row r="964" spans="1:8" x14ac:dyDescent="0.2">
      <c r="A964" s="63" t="str">
        <f>IFERROR(INDEX(_Datos!A:A,MATCH(957,_Datos!$I:$I,0)),"")</f>
        <v/>
      </c>
      <c r="B964" s="63" t="str">
        <f>IFERROR(INDEX(_Datos!B:B,MATCH(957,_Datos!$I:$I,0)),"")</f>
        <v/>
      </c>
      <c r="C964" s="63" t="str">
        <f>IFERROR(INDEX(_Datos!C:C,MATCH(957,_Datos!$I:$I,0)),"")</f>
        <v/>
      </c>
      <c r="D964" s="64" t="str">
        <f>IFERROR(INDEX(_Datos!D:D,MATCH(957,_Datos!$I:$I,0)),"")</f>
        <v/>
      </c>
      <c r="E964" s="65" t="str">
        <f>IFERROR(INDEX(_Datos!E:E,MATCH(957,_Datos!$I:$I,0)),"")</f>
        <v/>
      </c>
      <c r="F964" s="63" t="str">
        <f>IFERROR(INDEX(_Datos!F:F,MATCH(957,_Datos!$I:$I,0)),"")</f>
        <v/>
      </c>
      <c r="G964" s="63" t="str">
        <f>IFERROR(INDEX(_Datos!G:G,MATCH(957,_Datos!$I:$I,0)),"")</f>
        <v/>
      </c>
      <c r="H964" s="66" t="str">
        <f>IFERROR(INDEX(_Datos!H:H,MATCH(957,_Datos!$I:$I,0)),"")</f>
        <v/>
      </c>
    </row>
    <row r="965" spans="1:8" x14ac:dyDescent="0.2">
      <c r="A965" s="67" t="str">
        <f>IFERROR(INDEX(_Datos!A:A,MATCH(958,_Datos!$I:$I,0)),"")</f>
        <v/>
      </c>
      <c r="B965" s="67" t="str">
        <f>IFERROR(INDEX(_Datos!B:B,MATCH(958,_Datos!$I:$I,0)),"")</f>
        <v/>
      </c>
      <c r="C965" s="67" t="str">
        <f>IFERROR(INDEX(_Datos!C:C,MATCH(958,_Datos!$I:$I,0)),"")</f>
        <v/>
      </c>
      <c r="D965" s="68" t="str">
        <f>IFERROR(INDEX(_Datos!D:D,MATCH(958,_Datos!$I:$I,0)),"")</f>
        <v/>
      </c>
      <c r="E965" s="69" t="str">
        <f>IFERROR(INDEX(_Datos!E:E,MATCH(958,_Datos!$I:$I,0)),"")</f>
        <v/>
      </c>
      <c r="F965" s="67" t="str">
        <f>IFERROR(INDEX(_Datos!F:F,MATCH(958,_Datos!$I:$I,0)),"")</f>
        <v/>
      </c>
      <c r="G965" s="67" t="str">
        <f>IFERROR(INDEX(_Datos!G:G,MATCH(958,_Datos!$I:$I,0)),"")</f>
        <v/>
      </c>
      <c r="H965" s="70" t="str">
        <f>IFERROR(INDEX(_Datos!H:H,MATCH(958,_Datos!$I:$I,0)),"")</f>
        <v/>
      </c>
    </row>
    <row r="966" spans="1:8" x14ac:dyDescent="0.2">
      <c r="A966" s="63" t="str">
        <f>IFERROR(INDEX(_Datos!A:A,MATCH(959,_Datos!$I:$I,0)),"")</f>
        <v/>
      </c>
      <c r="B966" s="63" t="str">
        <f>IFERROR(INDEX(_Datos!B:B,MATCH(959,_Datos!$I:$I,0)),"")</f>
        <v/>
      </c>
      <c r="C966" s="63" t="str">
        <f>IFERROR(INDEX(_Datos!C:C,MATCH(959,_Datos!$I:$I,0)),"")</f>
        <v/>
      </c>
      <c r="D966" s="64" t="str">
        <f>IFERROR(INDEX(_Datos!D:D,MATCH(959,_Datos!$I:$I,0)),"")</f>
        <v/>
      </c>
      <c r="E966" s="65" t="str">
        <f>IFERROR(INDEX(_Datos!E:E,MATCH(959,_Datos!$I:$I,0)),"")</f>
        <v/>
      </c>
      <c r="F966" s="63" t="str">
        <f>IFERROR(INDEX(_Datos!F:F,MATCH(959,_Datos!$I:$I,0)),"")</f>
        <v/>
      </c>
      <c r="G966" s="63" t="str">
        <f>IFERROR(INDEX(_Datos!G:G,MATCH(959,_Datos!$I:$I,0)),"")</f>
        <v/>
      </c>
      <c r="H966" s="66" t="str">
        <f>IFERROR(INDEX(_Datos!H:H,MATCH(959,_Datos!$I:$I,0)),"")</f>
        <v/>
      </c>
    </row>
    <row r="967" spans="1:8" x14ac:dyDescent="0.2">
      <c r="A967" s="67" t="str">
        <f>IFERROR(INDEX(_Datos!A:A,MATCH(960,_Datos!$I:$I,0)),"")</f>
        <v/>
      </c>
      <c r="B967" s="67" t="str">
        <f>IFERROR(INDEX(_Datos!B:B,MATCH(960,_Datos!$I:$I,0)),"")</f>
        <v/>
      </c>
      <c r="C967" s="67" t="str">
        <f>IFERROR(INDEX(_Datos!C:C,MATCH(960,_Datos!$I:$I,0)),"")</f>
        <v/>
      </c>
      <c r="D967" s="68" t="str">
        <f>IFERROR(INDEX(_Datos!D:D,MATCH(960,_Datos!$I:$I,0)),"")</f>
        <v/>
      </c>
      <c r="E967" s="69" t="str">
        <f>IFERROR(INDEX(_Datos!E:E,MATCH(960,_Datos!$I:$I,0)),"")</f>
        <v/>
      </c>
      <c r="F967" s="67" t="str">
        <f>IFERROR(INDEX(_Datos!F:F,MATCH(960,_Datos!$I:$I,0)),"")</f>
        <v/>
      </c>
      <c r="G967" s="67" t="str">
        <f>IFERROR(INDEX(_Datos!G:G,MATCH(960,_Datos!$I:$I,0)),"")</f>
        <v/>
      </c>
      <c r="H967" s="70" t="str">
        <f>IFERROR(INDEX(_Datos!H:H,MATCH(960,_Datos!$I:$I,0)),"")</f>
        <v/>
      </c>
    </row>
    <row r="968" spans="1:8" x14ac:dyDescent="0.2">
      <c r="A968" s="63" t="str">
        <f>IFERROR(INDEX(_Datos!A:A,MATCH(961,_Datos!$I:$I,0)),"")</f>
        <v/>
      </c>
      <c r="B968" s="63" t="str">
        <f>IFERROR(INDEX(_Datos!B:B,MATCH(961,_Datos!$I:$I,0)),"")</f>
        <v/>
      </c>
      <c r="C968" s="63" t="str">
        <f>IFERROR(INDEX(_Datos!C:C,MATCH(961,_Datos!$I:$I,0)),"")</f>
        <v/>
      </c>
      <c r="D968" s="64" t="str">
        <f>IFERROR(INDEX(_Datos!D:D,MATCH(961,_Datos!$I:$I,0)),"")</f>
        <v/>
      </c>
      <c r="E968" s="65" t="str">
        <f>IFERROR(INDEX(_Datos!E:E,MATCH(961,_Datos!$I:$I,0)),"")</f>
        <v/>
      </c>
      <c r="F968" s="63" t="str">
        <f>IFERROR(INDEX(_Datos!F:F,MATCH(961,_Datos!$I:$I,0)),"")</f>
        <v/>
      </c>
      <c r="G968" s="63" t="str">
        <f>IFERROR(INDEX(_Datos!G:G,MATCH(961,_Datos!$I:$I,0)),"")</f>
        <v/>
      </c>
      <c r="H968" s="66" t="str">
        <f>IFERROR(INDEX(_Datos!H:H,MATCH(961,_Datos!$I:$I,0)),"")</f>
        <v/>
      </c>
    </row>
    <row r="969" spans="1:8" x14ac:dyDescent="0.2">
      <c r="A969" s="67" t="str">
        <f>IFERROR(INDEX(_Datos!A:A,MATCH(962,_Datos!$I:$I,0)),"")</f>
        <v/>
      </c>
      <c r="B969" s="67" t="str">
        <f>IFERROR(INDEX(_Datos!B:B,MATCH(962,_Datos!$I:$I,0)),"")</f>
        <v/>
      </c>
      <c r="C969" s="67" t="str">
        <f>IFERROR(INDEX(_Datos!C:C,MATCH(962,_Datos!$I:$I,0)),"")</f>
        <v/>
      </c>
      <c r="D969" s="68" t="str">
        <f>IFERROR(INDEX(_Datos!D:D,MATCH(962,_Datos!$I:$I,0)),"")</f>
        <v/>
      </c>
      <c r="E969" s="69" t="str">
        <f>IFERROR(INDEX(_Datos!E:E,MATCH(962,_Datos!$I:$I,0)),"")</f>
        <v/>
      </c>
      <c r="F969" s="67" t="str">
        <f>IFERROR(INDEX(_Datos!F:F,MATCH(962,_Datos!$I:$I,0)),"")</f>
        <v/>
      </c>
      <c r="G969" s="67" t="str">
        <f>IFERROR(INDEX(_Datos!G:G,MATCH(962,_Datos!$I:$I,0)),"")</f>
        <v/>
      </c>
      <c r="H969" s="70" t="str">
        <f>IFERROR(INDEX(_Datos!H:H,MATCH(962,_Datos!$I:$I,0)),"")</f>
        <v/>
      </c>
    </row>
    <row r="970" spans="1:8" x14ac:dyDescent="0.2">
      <c r="A970" s="63" t="str">
        <f>IFERROR(INDEX(_Datos!A:A,MATCH(963,_Datos!$I:$I,0)),"")</f>
        <v/>
      </c>
      <c r="B970" s="63" t="str">
        <f>IFERROR(INDEX(_Datos!B:B,MATCH(963,_Datos!$I:$I,0)),"")</f>
        <v/>
      </c>
      <c r="C970" s="63" t="str">
        <f>IFERROR(INDEX(_Datos!C:C,MATCH(963,_Datos!$I:$I,0)),"")</f>
        <v/>
      </c>
      <c r="D970" s="64" t="str">
        <f>IFERROR(INDEX(_Datos!D:D,MATCH(963,_Datos!$I:$I,0)),"")</f>
        <v/>
      </c>
      <c r="E970" s="65" t="str">
        <f>IFERROR(INDEX(_Datos!E:E,MATCH(963,_Datos!$I:$I,0)),"")</f>
        <v/>
      </c>
      <c r="F970" s="63" t="str">
        <f>IFERROR(INDEX(_Datos!F:F,MATCH(963,_Datos!$I:$I,0)),"")</f>
        <v/>
      </c>
      <c r="G970" s="63" t="str">
        <f>IFERROR(INDEX(_Datos!G:G,MATCH(963,_Datos!$I:$I,0)),"")</f>
        <v/>
      </c>
      <c r="H970" s="66" t="str">
        <f>IFERROR(INDEX(_Datos!H:H,MATCH(963,_Datos!$I:$I,0)),"")</f>
        <v/>
      </c>
    </row>
    <row r="971" spans="1:8" x14ac:dyDescent="0.2">
      <c r="A971" s="67" t="str">
        <f>IFERROR(INDEX(_Datos!A:A,MATCH(964,_Datos!$I:$I,0)),"")</f>
        <v/>
      </c>
      <c r="B971" s="67" t="str">
        <f>IFERROR(INDEX(_Datos!B:B,MATCH(964,_Datos!$I:$I,0)),"")</f>
        <v/>
      </c>
      <c r="C971" s="67" t="str">
        <f>IFERROR(INDEX(_Datos!C:C,MATCH(964,_Datos!$I:$I,0)),"")</f>
        <v/>
      </c>
      <c r="D971" s="68" t="str">
        <f>IFERROR(INDEX(_Datos!D:D,MATCH(964,_Datos!$I:$I,0)),"")</f>
        <v/>
      </c>
      <c r="E971" s="69" t="str">
        <f>IFERROR(INDEX(_Datos!E:E,MATCH(964,_Datos!$I:$I,0)),"")</f>
        <v/>
      </c>
      <c r="F971" s="67" t="str">
        <f>IFERROR(INDEX(_Datos!F:F,MATCH(964,_Datos!$I:$I,0)),"")</f>
        <v/>
      </c>
      <c r="G971" s="67" t="str">
        <f>IFERROR(INDEX(_Datos!G:G,MATCH(964,_Datos!$I:$I,0)),"")</f>
        <v/>
      </c>
      <c r="H971" s="70" t="str">
        <f>IFERROR(INDEX(_Datos!H:H,MATCH(964,_Datos!$I:$I,0)),"")</f>
        <v/>
      </c>
    </row>
    <row r="972" spans="1:8" x14ac:dyDescent="0.2">
      <c r="A972" s="63" t="str">
        <f>IFERROR(INDEX(_Datos!A:A,MATCH(965,_Datos!$I:$I,0)),"")</f>
        <v/>
      </c>
      <c r="B972" s="63" t="str">
        <f>IFERROR(INDEX(_Datos!B:B,MATCH(965,_Datos!$I:$I,0)),"")</f>
        <v/>
      </c>
      <c r="C972" s="63" t="str">
        <f>IFERROR(INDEX(_Datos!C:C,MATCH(965,_Datos!$I:$I,0)),"")</f>
        <v/>
      </c>
      <c r="D972" s="64" t="str">
        <f>IFERROR(INDEX(_Datos!D:D,MATCH(965,_Datos!$I:$I,0)),"")</f>
        <v/>
      </c>
      <c r="E972" s="65" t="str">
        <f>IFERROR(INDEX(_Datos!E:E,MATCH(965,_Datos!$I:$I,0)),"")</f>
        <v/>
      </c>
      <c r="F972" s="63" t="str">
        <f>IFERROR(INDEX(_Datos!F:F,MATCH(965,_Datos!$I:$I,0)),"")</f>
        <v/>
      </c>
      <c r="G972" s="63" t="str">
        <f>IFERROR(INDEX(_Datos!G:G,MATCH(965,_Datos!$I:$I,0)),"")</f>
        <v/>
      </c>
      <c r="H972" s="66" t="str">
        <f>IFERROR(INDEX(_Datos!H:H,MATCH(965,_Datos!$I:$I,0)),"")</f>
        <v/>
      </c>
    </row>
    <row r="973" spans="1:8" x14ac:dyDescent="0.2">
      <c r="A973" s="67" t="str">
        <f>IFERROR(INDEX(_Datos!A:A,MATCH(966,_Datos!$I:$I,0)),"")</f>
        <v/>
      </c>
      <c r="B973" s="67" t="str">
        <f>IFERROR(INDEX(_Datos!B:B,MATCH(966,_Datos!$I:$I,0)),"")</f>
        <v/>
      </c>
      <c r="C973" s="67" t="str">
        <f>IFERROR(INDEX(_Datos!C:C,MATCH(966,_Datos!$I:$I,0)),"")</f>
        <v/>
      </c>
      <c r="D973" s="68" t="str">
        <f>IFERROR(INDEX(_Datos!D:D,MATCH(966,_Datos!$I:$I,0)),"")</f>
        <v/>
      </c>
      <c r="E973" s="69" t="str">
        <f>IFERROR(INDEX(_Datos!E:E,MATCH(966,_Datos!$I:$I,0)),"")</f>
        <v/>
      </c>
      <c r="F973" s="67" t="str">
        <f>IFERROR(INDEX(_Datos!F:F,MATCH(966,_Datos!$I:$I,0)),"")</f>
        <v/>
      </c>
      <c r="G973" s="67" t="str">
        <f>IFERROR(INDEX(_Datos!G:G,MATCH(966,_Datos!$I:$I,0)),"")</f>
        <v/>
      </c>
      <c r="H973" s="70" t="str">
        <f>IFERROR(INDEX(_Datos!H:H,MATCH(966,_Datos!$I:$I,0)),"")</f>
        <v/>
      </c>
    </row>
    <row r="974" spans="1:8" x14ac:dyDescent="0.2">
      <c r="A974" s="63" t="str">
        <f>IFERROR(INDEX(_Datos!A:A,MATCH(967,_Datos!$I:$I,0)),"")</f>
        <v/>
      </c>
      <c r="B974" s="63" t="str">
        <f>IFERROR(INDEX(_Datos!B:B,MATCH(967,_Datos!$I:$I,0)),"")</f>
        <v/>
      </c>
      <c r="C974" s="63" t="str">
        <f>IFERROR(INDEX(_Datos!C:C,MATCH(967,_Datos!$I:$I,0)),"")</f>
        <v/>
      </c>
      <c r="D974" s="64" t="str">
        <f>IFERROR(INDEX(_Datos!D:D,MATCH(967,_Datos!$I:$I,0)),"")</f>
        <v/>
      </c>
      <c r="E974" s="65" t="str">
        <f>IFERROR(INDEX(_Datos!E:E,MATCH(967,_Datos!$I:$I,0)),"")</f>
        <v/>
      </c>
      <c r="F974" s="63" t="str">
        <f>IFERROR(INDEX(_Datos!F:F,MATCH(967,_Datos!$I:$I,0)),"")</f>
        <v/>
      </c>
      <c r="G974" s="63" t="str">
        <f>IFERROR(INDEX(_Datos!G:G,MATCH(967,_Datos!$I:$I,0)),"")</f>
        <v/>
      </c>
      <c r="H974" s="66" t="str">
        <f>IFERROR(INDEX(_Datos!H:H,MATCH(967,_Datos!$I:$I,0)),"")</f>
        <v/>
      </c>
    </row>
    <row r="975" spans="1:8" x14ac:dyDescent="0.2">
      <c r="A975" s="67" t="str">
        <f>IFERROR(INDEX(_Datos!A:A,MATCH(968,_Datos!$I:$I,0)),"")</f>
        <v/>
      </c>
      <c r="B975" s="67" t="str">
        <f>IFERROR(INDEX(_Datos!B:B,MATCH(968,_Datos!$I:$I,0)),"")</f>
        <v/>
      </c>
      <c r="C975" s="67" t="str">
        <f>IFERROR(INDEX(_Datos!C:C,MATCH(968,_Datos!$I:$I,0)),"")</f>
        <v/>
      </c>
      <c r="D975" s="68" t="str">
        <f>IFERROR(INDEX(_Datos!D:D,MATCH(968,_Datos!$I:$I,0)),"")</f>
        <v/>
      </c>
      <c r="E975" s="69" t="str">
        <f>IFERROR(INDEX(_Datos!E:E,MATCH(968,_Datos!$I:$I,0)),"")</f>
        <v/>
      </c>
      <c r="F975" s="67" t="str">
        <f>IFERROR(INDEX(_Datos!F:F,MATCH(968,_Datos!$I:$I,0)),"")</f>
        <v/>
      </c>
      <c r="G975" s="67" t="str">
        <f>IFERROR(INDEX(_Datos!G:G,MATCH(968,_Datos!$I:$I,0)),"")</f>
        <v/>
      </c>
      <c r="H975" s="70" t="str">
        <f>IFERROR(INDEX(_Datos!H:H,MATCH(968,_Datos!$I:$I,0)),"")</f>
        <v/>
      </c>
    </row>
    <row r="976" spans="1:8" x14ac:dyDescent="0.2">
      <c r="A976" s="63" t="str">
        <f>IFERROR(INDEX(_Datos!A:A,MATCH(969,_Datos!$I:$I,0)),"")</f>
        <v/>
      </c>
      <c r="B976" s="63" t="str">
        <f>IFERROR(INDEX(_Datos!B:B,MATCH(969,_Datos!$I:$I,0)),"")</f>
        <v/>
      </c>
      <c r="C976" s="63" t="str">
        <f>IFERROR(INDEX(_Datos!C:C,MATCH(969,_Datos!$I:$I,0)),"")</f>
        <v/>
      </c>
      <c r="D976" s="64" t="str">
        <f>IFERROR(INDEX(_Datos!D:D,MATCH(969,_Datos!$I:$I,0)),"")</f>
        <v/>
      </c>
      <c r="E976" s="65" t="str">
        <f>IFERROR(INDEX(_Datos!E:E,MATCH(969,_Datos!$I:$I,0)),"")</f>
        <v/>
      </c>
      <c r="F976" s="63" t="str">
        <f>IFERROR(INDEX(_Datos!F:F,MATCH(969,_Datos!$I:$I,0)),"")</f>
        <v/>
      </c>
      <c r="G976" s="63" t="str">
        <f>IFERROR(INDEX(_Datos!G:G,MATCH(969,_Datos!$I:$I,0)),"")</f>
        <v/>
      </c>
      <c r="H976" s="66" t="str">
        <f>IFERROR(INDEX(_Datos!H:H,MATCH(969,_Datos!$I:$I,0)),"")</f>
        <v/>
      </c>
    </row>
    <row r="977" spans="1:8" x14ac:dyDescent="0.2">
      <c r="A977" s="67" t="str">
        <f>IFERROR(INDEX(_Datos!A:A,MATCH(970,_Datos!$I:$I,0)),"")</f>
        <v/>
      </c>
      <c r="B977" s="67" t="str">
        <f>IFERROR(INDEX(_Datos!B:B,MATCH(970,_Datos!$I:$I,0)),"")</f>
        <v/>
      </c>
      <c r="C977" s="67" t="str">
        <f>IFERROR(INDEX(_Datos!C:C,MATCH(970,_Datos!$I:$I,0)),"")</f>
        <v/>
      </c>
      <c r="D977" s="68" t="str">
        <f>IFERROR(INDEX(_Datos!D:D,MATCH(970,_Datos!$I:$I,0)),"")</f>
        <v/>
      </c>
      <c r="E977" s="69" t="str">
        <f>IFERROR(INDEX(_Datos!E:E,MATCH(970,_Datos!$I:$I,0)),"")</f>
        <v/>
      </c>
      <c r="F977" s="67" t="str">
        <f>IFERROR(INDEX(_Datos!F:F,MATCH(970,_Datos!$I:$I,0)),"")</f>
        <v/>
      </c>
      <c r="G977" s="67" t="str">
        <f>IFERROR(INDEX(_Datos!G:G,MATCH(970,_Datos!$I:$I,0)),"")</f>
        <v/>
      </c>
      <c r="H977" s="70" t="str">
        <f>IFERROR(INDEX(_Datos!H:H,MATCH(970,_Datos!$I:$I,0)),"")</f>
        <v/>
      </c>
    </row>
    <row r="978" spans="1:8" x14ac:dyDescent="0.2">
      <c r="A978" s="63" t="str">
        <f>IFERROR(INDEX(_Datos!A:A,MATCH(971,_Datos!$I:$I,0)),"")</f>
        <v/>
      </c>
      <c r="B978" s="63" t="str">
        <f>IFERROR(INDEX(_Datos!B:B,MATCH(971,_Datos!$I:$I,0)),"")</f>
        <v/>
      </c>
      <c r="C978" s="63" t="str">
        <f>IFERROR(INDEX(_Datos!C:C,MATCH(971,_Datos!$I:$I,0)),"")</f>
        <v/>
      </c>
      <c r="D978" s="64" t="str">
        <f>IFERROR(INDEX(_Datos!D:D,MATCH(971,_Datos!$I:$I,0)),"")</f>
        <v/>
      </c>
      <c r="E978" s="65" t="str">
        <f>IFERROR(INDEX(_Datos!E:E,MATCH(971,_Datos!$I:$I,0)),"")</f>
        <v/>
      </c>
      <c r="F978" s="63" t="str">
        <f>IFERROR(INDEX(_Datos!F:F,MATCH(971,_Datos!$I:$I,0)),"")</f>
        <v/>
      </c>
      <c r="G978" s="63" t="str">
        <f>IFERROR(INDEX(_Datos!G:G,MATCH(971,_Datos!$I:$I,0)),"")</f>
        <v/>
      </c>
      <c r="H978" s="66" t="str">
        <f>IFERROR(INDEX(_Datos!H:H,MATCH(971,_Datos!$I:$I,0)),"")</f>
        <v/>
      </c>
    </row>
    <row r="979" spans="1:8" x14ac:dyDescent="0.2">
      <c r="A979" s="67" t="str">
        <f>IFERROR(INDEX(_Datos!A:A,MATCH(972,_Datos!$I:$I,0)),"")</f>
        <v/>
      </c>
      <c r="B979" s="67" t="str">
        <f>IFERROR(INDEX(_Datos!B:B,MATCH(972,_Datos!$I:$I,0)),"")</f>
        <v/>
      </c>
      <c r="C979" s="67" t="str">
        <f>IFERROR(INDEX(_Datos!C:C,MATCH(972,_Datos!$I:$I,0)),"")</f>
        <v/>
      </c>
      <c r="D979" s="68" t="str">
        <f>IFERROR(INDEX(_Datos!D:D,MATCH(972,_Datos!$I:$I,0)),"")</f>
        <v/>
      </c>
      <c r="E979" s="69" t="str">
        <f>IFERROR(INDEX(_Datos!E:E,MATCH(972,_Datos!$I:$I,0)),"")</f>
        <v/>
      </c>
      <c r="F979" s="67" t="str">
        <f>IFERROR(INDEX(_Datos!F:F,MATCH(972,_Datos!$I:$I,0)),"")</f>
        <v/>
      </c>
      <c r="G979" s="67" t="str">
        <f>IFERROR(INDEX(_Datos!G:G,MATCH(972,_Datos!$I:$I,0)),"")</f>
        <v/>
      </c>
      <c r="H979" s="70" t="str">
        <f>IFERROR(INDEX(_Datos!H:H,MATCH(972,_Datos!$I:$I,0)),"")</f>
        <v/>
      </c>
    </row>
    <row r="980" spans="1:8" x14ac:dyDescent="0.2">
      <c r="A980" s="63" t="str">
        <f>IFERROR(INDEX(_Datos!A:A,MATCH(973,_Datos!$I:$I,0)),"")</f>
        <v/>
      </c>
      <c r="B980" s="63" t="str">
        <f>IFERROR(INDEX(_Datos!B:B,MATCH(973,_Datos!$I:$I,0)),"")</f>
        <v/>
      </c>
      <c r="C980" s="63" t="str">
        <f>IFERROR(INDEX(_Datos!C:C,MATCH(973,_Datos!$I:$I,0)),"")</f>
        <v/>
      </c>
      <c r="D980" s="64" t="str">
        <f>IFERROR(INDEX(_Datos!D:D,MATCH(973,_Datos!$I:$I,0)),"")</f>
        <v/>
      </c>
      <c r="E980" s="65" t="str">
        <f>IFERROR(INDEX(_Datos!E:E,MATCH(973,_Datos!$I:$I,0)),"")</f>
        <v/>
      </c>
      <c r="F980" s="63" t="str">
        <f>IFERROR(INDEX(_Datos!F:F,MATCH(973,_Datos!$I:$I,0)),"")</f>
        <v/>
      </c>
      <c r="G980" s="63" t="str">
        <f>IFERROR(INDEX(_Datos!G:G,MATCH(973,_Datos!$I:$I,0)),"")</f>
        <v/>
      </c>
      <c r="H980" s="66" t="str">
        <f>IFERROR(INDEX(_Datos!H:H,MATCH(973,_Datos!$I:$I,0)),"")</f>
        <v/>
      </c>
    </row>
    <row r="981" spans="1:8" x14ac:dyDescent="0.2">
      <c r="A981" s="67" t="str">
        <f>IFERROR(INDEX(_Datos!A:A,MATCH(974,_Datos!$I:$I,0)),"")</f>
        <v/>
      </c>
      <c r="B981" s="67" t="str">
        <f>IFERROR(INDEX(_Datos!B:B,MATCH(974,_Datos!$I:$I,0)),"")</f>
        <v/>
      </c>
      <c r="C981" s="67" t="str">
        <f>IFERROR(INDEX(_Datos!C:C,MATCH(974,_Datos!$I:$I,0)),"")</f>
        <v/>
      </c>
      <c r="D981" s="68" t="str">
        <f>IFERROR(INDEX(_Datos!D:D,MATCH(974,_Datos!$I:$I,0)),"")</f>
        <v/>
      </c>
      <c r="E981" s="69" t="str">
        <f>IFERROR(INDEX(_Datos!E:E,MATCH(974,_Datos!$I:$I,0)),"")</f>
        <v/>
      </c>
      <c r="F981" s="67" t="str">
        <f>IFERROR(INDEX(_Datos!F:F,MATCH(974,_Datos!$I:$I,0)),"")</f>
        <v/>
      </c>
      <c r="G981" s="67" t="str">
        <f>IFERROR(INDEX(_Datos!G:G,MATCH(974,_Datos!$I:$I,0)),"")</f>
        <v/>
      </c>
      <c r="H981" s="70" t="str">
        <f>IFERROR(INDEX(_Datos!H:H,MATCH(974,_Datos!$I:$I,0)),"")</f>
        <v/>
      </c>
    </row>
    <row r="982" spans="1:8" x14ac:dyDescent="0.2">
      <c r="A982" s="63" t="str">
        <f>IFERROR(INDEX(_Datos!A:A,MATCH(975,_Datos!$I:$I,0)),"")</f>
        <v/>
      </c>
      <c r="B982" s="63" t="str">
        <f>IFERROR(INDEX(_Datos!B:B,MATCH(975,_Datos!$I:$I,0)),"")</f>
        <v/>
      </c>
      <c r="C982" s="63" t="str">
        <f>IFERROR(INDEX(_Datos!C:C,MATCH(975,_Datos!$I:$I,0)),"")</f>
        <v/>
      </c>
      <c r="D982" s="64" t="str">
        <f>IFERROR(INDEX(_Datos!D:D,MATCH(975,_Datos!$I:$I,0)),"")</f>
        <v/>
      </c>
      <c r="E982" s="65" t="str">
        <f>IFERROR(INDEX(_Datos!E:E,MATCH(975,_Datos!$I:$I,0)),"")</f>
        <v/>
      </c>
      <c r="F982" s="63" t="str">
        <f>IFERROR(INDEX(_Datos!F:F,MATCH(975,_Datos!$I:$I,0)),"")</f>
        <v/>
      </c>
      <c r="G982" s="63" t="str">
        <f>IFERROR(INDEX(_Datos!G:G,MATCH(975,_Datos!$I:$I,0)),"")</f>
        <v/>
      </c>
      <c r="H982" s="66" t="str">
        <f>IFERROR(INDEX(_Datos!H:H,MATCH(975,_Datos!$I:$I,0)),"")</f>
        <v/>
      </c>
    </row>
    <row r="983" spans="1:8" x14ac:dyDescent="0.2">
      <c r="A983" s="67" t="str">
        <f>IFERROR(INDEX(_Datos!A:A,MATCH(976,_Datos!$I:$I,0)),"")</f>
        <v/>
      </c>
      <c r="B983" s="67" t="str">
        <f>IFERROR(INDEX(_Datos!B:B,MATCH(976,_Datos!$I:$I,0)),"")</f>
        <v/>
      </c>
      <c r="C983" s="67" t="str">
        <f>IFERROR(INDEX(_Datos!C:C,MATCH(976,_Datos!$I:$I,0)),"")</f>
        <v/>
      </c>
      <c r="D983" s="68" t="str">
        <f>IFERROR(INDEX(_Datos!D:D,MATCH(976,_Datos!$I:$I,0)),"")</f>
        <v/>
      </c>
      <c r="E983" s="69" t="str">
        <f>IFERROR(INDEX(_Datos!E:E,MATCH(976,_Datos!$I:$I,0)),"")</f>
        <v/>
      </c>
      <c r="F983" s="67" t="str">
        <f>IFERROR(INDEX(_Datos!F:F,MATCH(976,_Datos!$I:$I,0)),"")</f>
        <v/>
      </c>
      <c r="G983" s="67" t="str">
        <f>IFERROR(INDEX(_Datos!G:G,MATCH(976,_Datos!$I:$I,0)),"")</f>
        <v/>
      </c>
      <c r="H983" s="70" t="str">
        <f>IFERROR(INDEX(_Datos!H:H,MATCH(976,_Datos!$I:$I,0)),"")</f>
        <v/>
      </c>
    </row>
    <row r="984" spans="1:8" x14ac:dyDescent="0.2">
      <c r="A984" s="63" t="str">
        <f>IFERROR(INDEX(_Datos!A:A,MATCH(977,_Datos!$I:$I,0)),"")</f>
        <v/>
      </c>
      <c r="B984" s="63" t="str">
        <f>IFERROR(INDEX(_Datos!B:B,MATCH(977,_Datos!$I:$I,0)),"")</f>
        <v/>
      </c>
      <c r="C984" s="63" t="str">
        <f>IFERROR(INDEX(_Datos!C:C,MATCH(977,_Datos!$I:$I,0)),"")</f>
        <v/>
      </c>
      <c r="D984" s="64" t="str">
        <f>IFERROR(INDEX(_Datos!D:D,MATCH(977,_Datos!$I:$I,0)),"")</f>
        <v/>
      </c>
      <c r="E984" s="65" t="str">
        <f>IFERROR(INDEX(_Datos!E:E,MATCH(977,_Datos!$I:$I,0)),"")</f>
        <v/>
      </c>
      <c r="F984" s="63" t="str">
        <f>IFERROR(INDEX(_Datos!F:F,MATCH(977,_Datos!$I:$I,0)),"")</f>
        <v/>
      </c>
      <c r="G984" s="63" t="str">
        <f>IFERROR(INDEX(_Datos!G:G,MATCH(977,_Datos!$I:$I,0)),"")</f>
        <v/>
      </c>
      <c r="H984" s="66" t="str">
        <f>IFERROR(INDEX(_Datos!H:H,MATCH(977,_Datos!$I:$I,0)),"")</f>
        <v/>
      </c>
    </row>
    <row r="985" spans="1:8" x14ac:dyDescent="0.2">
      <c r="A985" s="67" t="str">
        <f>IFERROR(INDEX(_Datos!A:A,MATCH(978,_Datos!$I:$I,0)),"")</f>
        <v/>
      </c>
      <c r="B985" s="67" t="str">
        <f>IFERROR(INDEX(_Datos!B:B,MATCH(978,_Datos!$I:$I,0)),"")</f>
        <v/>
      </c>
      <c r="C985" s="67" t="str">
        <f>IFERROR(INDEX(_Datos!C:C,MATCH(978,_Datos!$I:$I,0)),"")</f>
        <v/>
      </c>
      <c r="D985" s="68" t="str">
        <f>IFERROR(INDEX(_Datos!D:D,MATCH(978,_Datos!$I:$I,0)),"")</f>
        <v/>
      </c>
      <c r="E985" s="69" t="str">
        <f>IFERROR(INDEX(_Datos!E:E,MATCH(978,_Datos!$I:$I,0)),"")</f>
        <v/>
      </c>
      <c r="F985" s="67" t="str">
        <f>IFERROR(INDEX(_Datos!F:F,MATCH(978,_Datos!$I:$I,0)),"")</f>
        <v/>
      </c>
      <c r="G985" s="67" t="str">
        <f>IFERROR(INDEX(_Datos!G:G,MATCH(978,_Datos!$I:$I,0)),"")</f>
        <v/>
      </c>
      <c r="H985" s="70" t="str">
        <f>IFERROR(INDEX(_Datos!H:H,MATCH(978,_Datos!$I:$I,0)),"")</f>
        <v/>
      </c>
    </row>
    <row r="986" spans="1:8" x14ac:dyDescent="0.2">
      <c r="A986" s="63" t="str">
        <f>IFERROR(INDEX(_Datos!A:A,MATCH(979,_Datos!$I:$I,0)),"")</f>
        <v/>
      </c>
      <c r="B986" s="63" t="str">
        <f>IFERROR(INDEX(_Datos!B:B,MATCH(979,_Datos!$I:$I,0)),"")</f>
        <v/>
      </c>
      <c r="C986" s="63" t="str">
        <f>IFERROR(INDEX(_Datos!C:C,MATCH(979,_Datos!$I:$I,0)),"")</f>
        <v/>
      </c>
      <c r="D986" s="64" t="str">
        <f>IFERROR(INDEX(_Datos!D:D,MATCH(979,_Datos!$I:$I,0)),"")</f>
        <v/>
      </c>
      <c r="E986" s="65" t="str">
        <f>IFERROR(INDEX(_Datos!E:E,MATCH(979,_Datos!$I:$I,0)),"")</f>
        <v/>
      </c>
      <c r="F986" s="63" t="str">
        <f>IFERROR(INDEX(_Datos!F:F,MATCH(979,_Datos!$I:$I,0)),"")</f>
        <v/>
      </c>
      <c r="G986" s="63" t="str">
        <f>IFERROR(INDEX(_Datos!G:G,MATCH(979,_Datos!$I:$I,0)),"")</f>
        <v/>
      </c>
      <c r="H986" s="66" t="str">
        <f>IFERROR(INDEX(_Datos!H:H,MATCH(979,_Datos!$I:$I,0)),"")</f>
        <v/>
      </c>
    </row>
    <row r="987" spans="1:8" x14ac:dyDescent="0.2">
      <c r="A987" s="67" t="str">
        <f>IFERROR(INDEX(_Datos!A:A,MATCH(980,_Datos!$I:$I,0)),"")</f>
        <v/>
      </c>
      <c r="B987" s="67" t="str">
        <f>IFERROR(INDEX(_Datos!B:B,MATCH(980,_Datos!$I:$I,0)),"")</f>
        <v/>
      </c>
      <c r="C987" s="67" t="str">
        <f>IFERROR(INDEX(_Datos!C:C,MATCH(980,_Datos!$I:$I,0)),"")</f>
        <v/>
      </c>
      <c r="D987" s="68" t="str">
        <f>IFERROR(INDEX(_Datos!D:D,MATCH(980,_Datos!$I:$I,0)),"")</f>
        <v/>
      </c>
      <c r="E987" s="69" t="str">
        <f>IFERROR(INDEX(_Datos!E:E,MATCH(980,_Datos!$I:$I,0)),"")</f>
        <v/>
      </c>
      <c r="F987" s="67" t="str">
        <f>IFERROR(INDEX(_Datos!F:F,MATCH(980,_Datos!$I:$I,0)),"")</f>
        <v/>
      </c>
      <c r="G987" s="67" t="str">
        <f>IFERROR(INDEX(_Datos!G:G,MATCH(980,_Datos!$I:$I,0)),"")</f>
        <v/>
      </c>
      <c r="H987" s="70" t="str">
        <f>IFERROR(INDEX(_Datos!H:H,MATCH(980,_Datos!$I:$I,0)),"")</f>
        <v/>
      </c>
    </row>
    <row r="988" spans="1:8" x14ac:dyDescent="0.2">
      <c r="A988" s="63" t="str">
        <f>IFERROR(INDEX(_Datos!A:A,MATCH(981,_Datos!$I:$I,0)),"")</f>
        <v/>
      </c>
      <c r="B988" s="63" t="str">
        <f>IFERROR(INDEX(_Datos!B:B,MATCH(981,_Datos!$I:$I,0)),"")</f>
        <v/>
      </c>
      <c r="C988" s="63" t="str">
        <f>IFERROR(INDEX(_Datos!C:C,MATCH(981,_Datos!$I:$I,0)),"")</f>
        <v/>
      </c>
      <c r="D988" s="64" t="str">
        <f>IFERROR(INDEX(_Datos!D:D,MATCH(981,_Datos!$I:$I,0)),"")</f>
        <v/>
      </c>
      <c r="E988" s="65" t="str">
        <f>IFERROR(INDEX(_Datos!E:E,MATCH(981,_Datos!$I:$I,0)),"")</f>
        <v/>
      </c>
      <c r="F988" s="63" t="str">
        <f>IFERROR(INDEX(_Datos!F:F,MATCH(981,_Datos!$I:$I,0)),"")</f>
        <v/>
      </c>
      <c r="G988" s="63" t="str">
        <f>IFERROR(INDEX(_Datos!G:G,MATCH(981,_Datos!$I:$I,0)),"")</f>
        <v/>
      </c>
      <c r="H988" s="66" t="str">
        <f>IFERROR(INDEX(_Datos!H:H,MATCH(981,_Datos!$I:$I,0)),"")</f>
        <v/>
      </c>
    </row>
    <row r="989" spans="1:8" x14ac:dyDescent="0.2">
      <c r="A989" s="67" t="str">
        <f>IFERROR(INDEX(_Datos!A:A,MATCH(982,_Datos!$I:$I,0)),"")</f>
        <v/>
      </c>
      <c r="B989" s="67" t="str">
        <f>IFERROR(INDEX(_Datos!B:B,MATCH(982,_Datos!$I:$I,0)),"")</f>
        <v/>
      </c>
      <c r="C989" s="67" t="str">
        <f>IFERROR(INDEX(_Datos!C:C,MATCH(982,_Datos!$I:$I,0)),"")</f>
        <v/>
      </c>
      <c r="D989" s="68" t="str">
        <f>IFERROR(INDEX(_Datos!D:D,MATCH(982,_Datos!$I:$I,0)),"")</f>
        <v/>
      </c>
      <c r="E989" s="69" t="str">
        <f>IFERROR(INDEX(_Datos!E:E,MATCH(982,_Datos!$I:$I,0)),"")</f>
        <v/>
      </c>
      <c r="F989" s="67" t="str">
        <f>IFERROR(INDEX(_Datos!F:F,MATCH(982,_Datos!$I:$I,0)),"")</f>
        <v/>
      </c>
      <c r="G989" s="67" t="str">
        <f>IFERROR(INDEX(_Datos!G:G,MATCH(982,_Datos!$I:$I,0)),"")</f>
        <v/>
      </c>
      <c r="H989" s="70" t="str">
        <f>IFERROR(INDEX(_Datos!H:H,MATCH(982,_Datos!$I:$I,0)),"")</f>
        <v/>
      </c>
    </row>
    <row r="990" spans="1:8" x14ac:dyDescent="0.2">
      <c r="A990" s="63" t="str">
        <f>IFERROR(INDEX(_Datos!A:A,MATCH(983,_Datos!$I:$I,0)),"")</f>
        <v/>
      </c>
      <c r="B990" s="63" t="str">
        <f>IFERROR(INDEX(_Datos!B:B,MATCH(983,_Datos!$I:$I,0)),"")</f>
        <v/>
      </c>
      <c r="C990" s="63" t="str">
        <f>IFERROR(INDEX(_Datos!C:C,MATCH(983,_Datos!$I:$I,0)),"")</f>
        <v/>
      </c>
      <c r="D990" s="64" t="str">
        <f>IFERROR(INDEX(_Datos!D:D,MATCH(983,_Datos!$I:$I,0)),"")</f>
        <v/>
      </c>
      <c r="E990" s="65" t="str">
        <f>IFERROR(INDEX(_Datos!E:E,MATCH(983,_Datos!$I:$I,0)),"")</f>
        <v/>
      </c>
      <c r="F990" s="63" t="str">
        <f>IFERROR(INDEX(_Datos!F:F,MATCH(983,_Datos!$I:$I,0)),"")</f>
        <v/>
      </c>
      <c r="G990" s="63" t="str">
        <f>IFERROR(INDEX(_Datos!G:G,MATCH(983,_Datos!$I:$I,0)),"")</f>
        <v/>
      </c>
      <c r="H990" s="66" t="str">
        <f>IFERROR(INDEX(_Datos!H:H,MATCH(983,_Datos!$I:$I,0)),"")</f>
        <v/>
      </c>
    </row>
    <row r="991" spans="1:8" x14ac:dyDescent="0.2">
      <c r="A991" s="67" t="str">
        <f>IFERROR(INDEX(_Datos!A:A,MATCH(984,_Datos!$I:$I,0)),"")</f>
        <v/>
      </c>
      <c r="B991" s="67" t="str">
        <f>IFERROR(INDEX(_Datos!B:B,MATCH(984,_Datos!$I:$I,0)),"")</f>
        <v/>
      </c>
      <c r="C991" s="67" t="str">
        <f>IFERROR(INDEX(_Datos!C:C,MATCH(984,_Datos!$I:$I,0)),"")</f>
        <v/>
      </c>
      <c r="D991" s="68" t="str">
        <f>IFERROR(INDEX(_Datos!D:D,MATCH(984,_Datos!$I:$I,0)),"")</f>
        <v/>
      </c>
      <c r="E991" s="69" t="str">
        <f>IFERROR(INDEX(_Datos!E:E,MATCH(984,_Datos!$I:$I,0)),"")</f>
        <v/>
      </c>
      <c r="F991" s="67" t="str">
        <f>IFERROR(INDEX(_Datos!F:F,MATCH(984,_Datos!$I:$I,0)),"")</f>
        <v/>
      </c>
      <c r="G991" s="67" t="str">
        <f>IFERROR(INDEX(_Datos!G:G,MATCH(984,_Datos!$I:$I,0)),"")</f>
        <v/>
      </c>
      <c r="H991" s="70" t="str">
        <f>IFERROR(INDEX(_Datos!H:H,MATCH(984,_Datos!$I:$I,0)),"")</f>
        <v/>
      </c>
    </row>
    <row r="992" spans="1:8" x14ac:dyDescent="0.2">
      <c r="A992" s="63" t="str">
        <f>IFERROR(INDEX(_Datos!A:A,MATCH(985,_Datos!$I:$I,0)),"")</f>
        <v/>
      </c>
      <c r="B992" s="63" t="str">
        <f>IFERROR(INDEX(_Datos!B:B,MATCH(985,_Datos!$I:$I,0)),"")</f>
        <v/>
      </c>
      <c r="C992" s="63" t="str">
        <f>IFERROR(INDEX(_Datos!C:C,MATCH(985,_Datos!$I:$I,0)),"")</f>
        <v/>
      </c>
      <c r="D992" s="64" t="str">
        <f>IFERROR(INDEX(_Datos!D:D,MATCH(985,_Datos!$I:$I,0)),"")</f>
        <v/>
      </c>
      <c r="E992" s="65" t="str">
        <f>IFERROR(INDEX(_Datos!E:E,MATCH(985,_Datos!$I:$I,0)),"")</f>
        <v/>
      </c>
      <c r="F992" s="63" t="str">
        <f>IFERROR(INDEX(_Datos!F:F,MATCH(985,_Datos!$I:$I,0)),"")</f>
        <v/>
      </c>
      <c r="G992" s="63" t="str">
        <f>IFERROR(INDEX(_Datos!G:G,MATCH(985,_Datos!$I:$I,0)),"")</f>
        <v/>
      </c>
      <c r="H992" s="66" t="str">
        <f>IFERROR(INDEX(_Datos!H:H,MATCH(985,_Datos!$I:$I,0)),"")</f>
        <v/>
      </c>
    </row>
    <row r="993" spans="1:8" x14ac:dyDescent="0.2">
      <c r="A993" s="67" t="str">
        <f>IFERROR(INDEX(_Datos!A:A,MATCH(986,_Datos!$I:$I,0)),"")</f>
        <v/>
      </c>
      <c r="B993" s="67" t="str">
        <f>IFERROR(INDEX(_Datos!B:B,MATCH(986,_Datos!$I:$I,0)),"")</f>
        <v/>
      </c>
      <c r="C993" s="67" t="str">
        <f>IFERROR(INDEX(_Datos!C:C,MATCH(986,_Datos!$I:$I,0)),"")</f>
        <v/>
      </c>
      <c r="D993" s="68" t="str">
        <f>IFERROR(INDEX(_Datos!D:D,MATCH(986,_Datos!$I:$I,0)),"")</f>
        <v/>
      </c>
      <c r="E993" s="69" t="str">
        <f>IFERROR(INDEX(_Datos!E:E,MATCH(986,_Datos!$I:$I,0)),"")</f>
        <v/>
      </c>
      <c r="F993" s="67" t="str">
        <f>IFERROR(INDEX(_Datos!F:F,MATCH(986,_Datos!$I:$I,0)),"")</f>
        <v/>
      </c>
      <c r="G993" s="67" t="str">
        <f>IFERROR(INDEX(_Datos!G:G,MATCH(986,_Datos!$I:$I,0)),"")</f>
        <v/>
      </c>
      <c r="H993" s="70" t="str">
        <f>IFERROR(INDEX(_Datos!H:H,MATCH(986,_Datos!$I:$I,0)),"")</f>
        <v/>
      </c>
    </row>
    <row r="994" spans="1:8" x14ac:dyDescent="0.2">
      <c r="A994" s="63" t="str">
        <f>IFERROR(INDEX(_Datos!A:A,MATCH(987,_Datos!$I:$I,0)),"")</f>
        <v/>
      </c>
      <c r="B994" s="63" t="str">
        <f>IFERROR(INDEX(_Datos!B:B,MATCH(987,_Datos!$I:$I,0)),"")</f>
        <v/>
      </c>
      <c r="C994" s="63" t="str">
        <f>IFERROR(INDEX(_Datos!C:C,MATCH(987,_Datos!$I:$I,0)),"")</f>
        <v/>
      </c>
      <c r="D994" s="64" t="str">
        <f>IFERROR(INDEX(_Datos!D:D,MATCH(987,_Datos!$I:$I,0)),"")</f>
        <v/>
      </c>
      <c r="E994" s="65" t="str">
        <f>IFERROR(INDEX(_Datos!E:E,MATCH(987,_Datos!$I:$I,0)),"")</f>
        <v/>
      </c>
      <c r="F994" s="63" t="str">
        <f>IFERROR(INDEX(_Datos!F:F,MATCH(987,_Datos!$I:$I,0)),"")</f>
        <v/>
      </c>
      <c r="G994" s="63" t="str">
        <f>IFERROR(INDEX(_Datos!G:G,MATCH(987,_Datos!$I:$I,0)),"")</f>
        <v/>
      </c>
      <c r="H994" s="66" t="str">
        <f>IFERROR(INDEX(_Datos!H:H,MATCH(987,_Datos!$I:$I,0)),"")</f>
        <v/>
      </c>
    </row>
    <row r="995" spans="1:8" x14ac:dyDescent="0.2">
      <c r="A995" s="67" t="str">
        <f>IFERROR(INDEX(_Datos!A:A,MATCH(988,_Datos!$I:$I,0)),"")</f>
        <v/>
      </c>
      <c r="B995" s="67" t="str">
        <f>IFERROR(INDEX(_Datos!B:B,MATCH(988,_Datos!$I:$I,0)),"")</f>
        <v/>
      </c>
      <c r="C995" s="67" t="str">
        <f>IFERROR(INDEX(_Datos!C:C,MATCH(988,_Datos!$I:$I,0)),"")</f>
        <v/>
      </c>
      <c r="D995" s="68" t="str">
        <f>IFERROR(INDEX(_Datos!D:D,MATCH(988,_Datos!$I:$I,0)),"")</f>
        <v/>
      </c>
      <c r="E995" s="69" t="str">
        <f>IFERROR(INDEX(_Datos!E:E,MATCH(988,_Datos!$I:$I,0)),"")</f>
        <v/>
      </c>
      <c r="F995" s="67" t="str">
        <f>IFERROR(INDEX(_Datos!F:F,MATCH(988,_Datos!$I:$I,0)),"")</f>
        <v/>
      </c>
      <c r="G995" s="67" t="str">
        <f>IFERROR(INDEX(_Datos!G:G,MATCH(988,_Datos!$I:$I,0)),"")</f>
        <v/>
      </c>
      <c r="H995" s="70" t="str">
        <f>IFERROR(INDEX(_Datos!H:H,MATCH(988,_Datos!$I:$I,0)),"")</f>
        <v/>
      </c>
    </row>
    <row r="996" spans="1:8" x14ac:dyDescent="0.2">
      <c r="A996" s="63" t="str">
        <f>IFERROR(INDEX(_Datos!A:A,MATCH(989,_Datos!$I:$I,0)),"")</f>
        <v/>
      </c>
      <c r="B996" s="63" t="str">
        <f>IFERROR(INDEX(_Datos!B:B,MATCH(989,_Datos!$I:$I,0)),"")</f>
        <v/>
      </c>
      <c r="C996" s="63" t="str">
        <f>IFERROR(INDEX(_Datos!C:C,MATCH(989,_Datos!$I:$I,0)),"")</f>
        <v/>
      </c>
      <c r="D996" s="64" t="str">
        <f>IFERROR(INDEX(_Datos!D:D,MATCH(989,_Datos!$I:$I,0)),"")</f>
        <v/>
      </c>
      <c r="E996" s="65" t="str">
        <f>IFERROR(INDEX(_Datos!E:E,MATCH(989,_Datos!$I:$I,0)),"")</f>
        <v/>
      </c>
      <c r="F996" s="63" t="str">
        <f>IFERROR(INDEX(_Datos!F:F,MATCH(989,_Datos!$I:$I,0)),"")</f>
        <v/>
      </c>
      <c r="G996" s="63" t="str">
        <f>IFERROR(INDEX(_Datos!G:G,MATCH(989,_Datos!$I:$I,0)),"")</f>
        <v/>
      </c>
      <c r="H996" s="66" t="str">
        <f>IFERROR(INDEX(_Datos!H:H,MATCH(989,_Datos!$I:$I,0)),"")</f>
        <v/>
      </c>
    </row>
    <row r="997" spans="1:8" x14ac:dyDescent="0.2">
      <c r="A997" s="67" t="str">
        <f>IFERROR(INDEX(_Datos!A:A,MATCH(990,_Datos!$I:$I,0)),"")</f>
        <v/>
      </c>
      <c r="B997" s="67" t="str">
        <f>IFERROR(INDEX(_Datos!B:B,MATCH(990,_Datos!$I:$I,0)),"")</f>
        <v/>
      </c>
      <c r="C997" s="67" t="str">
        <f>IFERROR(INDEX(_Datos!C:C,MATCH(990,_Datos!$I:$I,0)),"")</f>
        <v/>
      </c>
      <c r="D997" s="68" t="str">
        <f>IFERROR(INDEX(_Datos!D:D,MATCH(990,_Datos!$I:$I,0)),"")</f>
        <v/>
      </c>
      <c r="E997" s="69" t="str">
        <f>IFERROR(INDEX(_Datos!E:E,MATCH(990,_Datos!$I:$I,0)),"")</f>
        <v/>
      </c>
      <c r="F997" s="67" t="str">
        <f>IFERROR(INDEX(_Datos!F:F,MATCH(990,_Datos!$I:$I,0)),"")</f>
        <v/>
      </c>
      <c r="G997" s="67" t="str">
        <f>IFERROR(INDEX(_Datos!G:G,MATCH(990,_Datos!$I:$I,0)),"")</f>
        <v/>
      </c>
      <c r="H997" s="70" t="str">
        <f>IFERROR(INDEX(_Datos!H:H,MATCH(990,_Datos!$I:$I,0)),"")</f>
        <v/>
      </c>
    </row>
    <row r="998" spans="1:8" x14ac:dyDescent="0.2">
      <c r="A998" s="63" t="str">
        <f>IFERROR(INDEX(_Datos!A:A,MATCH(991,_Datos!$I:$I,0)),"")</f>
        <v/>
      </c>
      <c r="B998" s="63" t="str">
        <f>IFERROR(INDEX(_Datos!B:B,MATCH(991,_Datos!$I:$I,0)),"")</f>
        <v/>
      </c>
      <c r="C998" s="63" t="str">
        <f>IFERROR(INDEX(_Datos!C:C,MATCH(991,_Datos!$I:$I,0)),"")</f>
        <v/>
      </c>
      <c r="D998" s="64" t="str">
        <f>IFERROR(INDEX(_Datos!D:D,MATCH(991,_Datos!$I:$I,0)),"")</f>
        <v/>
      </c>
      <c r="E998" s="65" t="str">
        <f>IFERROR(INDEX(_Datos!E:E,MATCH(991,_Datos!$I:$I,0)),"")</f>
        <v/>
      </c>
      <c r="F998" s="63" t="str">
        <f>IFERROR(INDEX(_Datos!F:F,MATCH(991,_Datos!$I:$I,0)),"")</f>
        <v/>
      </c>
      <c r="G998" s="63" t="str">
        <f>IFERROR(INDEX(_Datos!G:G,MATCH(991,_Datos!$I:$I,0)),"")</f>
        <v/>
      </c>
      <c r="H998" s="66" t="str">
        <f>IFERROR(INDEX(_Datos!H:H,MATCH(991,_Datos!$I:$I,0)),"")</f>
        <v/>
      </c>
    </row>
    <row r="999" spans="1:8" x14ac:dyDescent="0.2">
      <c r="A999" s="67" t="str">
        <f>IFERROR(INDEX(_Datos!A:A,MATCH(992,_Datos!$I:$I,0)),"")</f>
        <v/>
      </c>
      <c r="B999" s="67" t="str">
        <f>IFERROR(INDEX(_Datos!B:B,MATCH(992,_Datos!$I:$I,0)),"")</f>
        <v/>
      </c>
      <c r="C999" s="67" t="str">
        <f>IFERROR(INDEX(_Datos!C:C,MATCH(992,_Datos!$I:$I,0)),"")</f>
        <v/>
      </c>
      <c r="D999" s="68" t="str">
        <f>IFERROR(INDEX(_Datos!D:D,MATCH(992,_Datos!$I:$I,0)),"")</f>
        <v/>
      </c>
      <c r="E999" s="69" t="str">
        <f>IFERROR(INDEX(_Datos!E:E,MATCH(992,_Datos!$I:$I,0)),"")</f>
        <v/>
      </c>
      <c r="F999" s="67" t="str">
        <f>IFERROR(INDEX(_Datos!F:F,MATCH(992,_Datos!$I:$I,0)),"")</f>
        <v/>
      </c>
      <c r="G999" s="67" t="str">
        <f>IFERROR(INDEX(_Datos!G:G,MATCH(992,_Datos!$I:$I,0)),"")</f>
        <v/>
      </c>
      <c r="H999" s="70" t="str">
        <f>IFERROR(INDEX(_Datos!H:H,MATCH(992,_Datos!$I:$I,0)),"")</f>
        <v/>
      </c>
    </row>
    <row r="1000" spans="1:8" x14ac:dyDescent="0.2">
      <c r="A1000" s="63" t="str">
        <f>IFERROR(INDEX(_Datos!A:A,MATCH(993,_Datos!$I:$I,0)),"")</f>
        <v/>
      </c>
      <c r="B1000" s="63" t="str">
        <f>IFERROR(INDEX(_Datos!B:B,MATCH(993,_Datos!$I:$I,0)),"")</f>
        <v/>
      </c>
      <c r="C1000" s="63" t="str">
        <f>IFERROR(INDEX(_Datos!C:C,MATCH(993,_Datos!$I:$I,0)),"")</f>
        <v/>
      </c>
      <c r="D1000" s="64" t="str">
        <f>IFERROR(INDEX(_Datos!D:D,MATCH(993,_Datos!$I:$I,0)),"")</f>
        <v/>
      </c>
      <c r="E1000" s="65" t="str">
        <f>IFERROR(INDEX(_Datos!E:E,MATCH(993,_Datos!$I:$I,0)),"")</f>
        <v/>
      </c>
      <c r="F1000" s="63" t="str">
        <f>IFERROR(INDEX(_Datos!F:F,MATCH(993,_Datos!$I:$I,0)),"")</f>
        <v/>
      </c>
      <c r="G1000" s="63" t="str">
        <f>IFERROR(INDEX(_Datos!G:G,MATCH(993,_Datos!$I:$I,0)),"")</f>
        <v/>
      </c>
      <c r="H1000" s="66" t="str">
        <f>IFERROR(INDEX(_Datos!H:H,MATCH(993,_Datos!$I:$I,0)),"")</f>
        <v/>
      </c>
    </row>
    <row r="1001" spans="1:8" x14ac:dyDescent="0.2">
      <c r="A1001" s="67" t="str">
        <f>IFERROR(INDEX(_Datos!A:A,MATCH(994,_Datos!$I:$I,0)),"")</f>
        <v/>
      </c>
      <c r="B1001" s="67" t="str">
        <f>IFERROR(INDEX(_Datos!B:B,MATCH(994,_Datos!$I:$I,0)),"")</f>
        <v/>
      </c>
      <c r="C1001" s="67" t="str">
        <f>IFERROR(INDEX(_Datos!C:C,MATCH(994,_Datos!$I:$I,0)),"")</f>
        <v/>
      </c>
      <c r="D1001" s="68" t="str">
        <f>IFERROR(INDEX(_Datos!D:D,MATCH(994,_Datos!$I:$I,0)),"")</f>
        <v/>
      </c>
      <c r="E1001" s="69" t="str">
        <f>IFERROR(INDEX(_Datos!E:E,MATCH(994,_Datos!$I:$I,0)),"")</f>
        <v/>
      </c>
      <c r="F1001" s="67" t="str">
        <f>IFERROR(INDEX(_Datos!F:F,MATCH(994,_Datos!$I:$I,0)),"")</f>
        <v/>
      </c>
      <c r="G1001" s="67" t="str">
        <f>IFERROR(INDEX(_Datos!G:G,MATCH(994,_Datos!$I:$I,0)),"")</f>
        <v/>
      </c>
      <c r="H1001" s="70" t="str">
        <f>IFERROR(INDEX(_Datos!H:H,MATCH(994,_Datos!$I:$I,0)),"")</f>
        <v/>
      </c>
    </row>
    <row r="1002" spans="1:8" x14ac:dyDescent="0.2">
      <c r="A1002" s="63" t="str">
        <f>IFERROR(INDEX(_Datos!A:A,MATCH(995,_Datos!$I:$I,0)),"")</f>
        <v/>
      </c>
      <c r="B1002" s="63" t="str">
        <f>IFERROR(INDEX(_Datos!B:B,MATCH(995,_Datos!$I:$I,0)),"")</f>
        <v/>
      </c>
      <c r="C1002" s="63" t="str">
        <f>IFERROR(INDEX(_Datos!C:C,MATCH(995,_Datos!$I:$I,0)),"")</f>
        <v/>
      </c>
      <c r="D1002" s="64" t="str">
        <f>IFERROR(INDEX(_Datos!D:D,MATCH(995,_Datos!$I:$I,0)),"")</f>
        <v/>
      </c>
      <c r="E1002" s="65" t="str">
        <f>IFERROR(INDEX(_Datos!E:E,MATCH(995,_Datos!$I:$I,0)),"")</f>
        <v/>
      </c>
      <c r="F1002" s="63" t="str">
        <f>IFERROR(INDEX(_Datos!F:F,MATCH(995,_Datos!$I:$I,0)),"")</f>
        <v/>
      </c>
      <c r="G1002" s="63" t="str">
        <f>IFERROR(INDEX(_Datos!G:G,MATCH(995,_Datos!$I:$I,0)),"")</f>
        <v/>
      </c>
      <c r="H1002" s="66" t="str">
        <f>IFERROR(INDEX(_Datos!H:H,MATCH(995,_Datos!$I:$I,0)),"")</f>
        <v/>
      </c>
    </row>
    <row r="1003" spans="1:8" x14ac:dyDescent="0.2">
      <c r="A1003" s="67" t="str">
        <f>IFERROR(INDEX(_Datos!A:A,MATCH(996,_Datos!$I:$I,0)),"")</f>
        <v/>
      </c>
      <c r="B1003" s="67" t="str">
        <f>IFERROR(INDEX(_Datos!B:B,MATCH(996,_Datos!$I:$I,0)),"")</f>
        <v/>
      </c>
      <c r="C1003" s="67" t="str">
        <f>IFERROR(INDEX(_Datos!C:C,MATCH(996,_Datos!$I:$I,0)),"")</f>
        <v/>
      </c>
      <c r="D1003" s="68" t="str">
        <f>IFERROR(INDEX(_Datos!D:D,MATCH(996,_Datos!$I:$I,0)),"")</f>
        <v/>
      </c>
      <c r="E1003" s="69" t="str">
        <f>IFERROR(INDEX(_Datos!E:E,MATCH(996,_Datos!$I:$I,0)),"")</f>
        <v/>
      </c>
      <c r="F1003" s="67" t="str">
        <f>IFERROR(INDEX(_Datos!F:F,MATCH(996,_Datos!$I:$I,0)),"")</f>
        <v/>
      </c>
      <c r="G1003" s="67" t="str">
        <f>IFERROR(INDEX(_Datos!G:G,MATCH(996,_Datos!$I:$I,0)),"")</f>
        <v/>
      </c>
      <c r="H1003" s="70" t="str">
        <f>IFERROR(INDEX(_Datos!H:H,MATCH(996,_Datos!$I:$I,0)),"")</f>
        <v/>
      </c>
    </row>
    <row r="1004" spans="1:8" x14ac:dyDescent="0.2">
      <c r="A1004" s="63" t="str">
        <f>IFERROR(INDEX(_Datos!A:A,MATCH(997,_Datos!$I:$I,0)),"")</f>
        <v/>
      </c>
      <c r="B1004" s="63" t="str">
        <f>IFERROR(INDEX(_Datos!B:B,MATCH(997,_Datos!$I:$I,0)),"")</f>
        <v/>
      </c>
      <c r="C1004" s="63" t="str">
        <f>IFERROR(INDEX(_Datos!C:C,MATCH(997,_Datos!$I:$I,0)),"")</f>
        <v/>
      </c>
      <c r="D1004" s="64" t="str">
        <f>IFERROR(INDEX(_Datos!D:D,MATCH(997,_Datos!$I:$I,0)),"")</f>
        <v/>
      </c>
      <c r="E1004" s="65" t="str">
        <f>IFERROR(INDEX(_Datos!E:E,MATCH(997,_Datos!$I:$I,0)),"")</f>
        <v/>
      </c>
      <c r="F1004" s="63" t="str">
        <f>IFERROR(INDEX(_Datos!F:F,MATCH(997,_Datos!$I:$I,0)),"")</f>
        <v/>
      </c>
      <c r="G1004" s="63" t="str">
        <f>IFERROR(INDEX(_Datos!G:G,MATCH(997,_Datos!$I:$I,0)),"")</f>
        <v/>
      </c>
      <c r="H1004" s="66" t="str">
        <f>IFERROR(INDEX(_Datos!H:H,MATCH(997,_Datos!$I:$I,0)),"")</f>
        <v/>
      </c>
    </row>
    <row r="1005" spans="1:8" x14ac:dyDescent="0.2">
      <c r="A1005" s="67" t="str">
        <f>IFERROR(INDEX(_Datos!A:A,MATCH(998,_Datos!$I:$I,0)),"")</f>
        <v/>
      </c>
      <c r="B1005" s="67" t="str">
        <f>IFERROR(INDEX(_Datos!B:B,MATCH(998,_Datos!$I:$I,0)),"")</f>
        <v/>
      </c>
      <c r="C1005" s="67" t="str">
        <f>IFERROR(INDEX(_Datos!C:C,MATCH(998,_Datos!$I:$I,0)),"")</f>
        <v/>
      </c>
      <c r="D1005" s="68" t="str">
        <f>IFERROR(INDEX(_Datos!D:D,MATCH(998,_Datos!$I:$I,0)),"")</f>
        <v/>
      </c>
      <c r="E1005" s="69" t="str">
        <f>IFERROR(INDEX(_Datos!E:E,MATCH(998,_Datos!$I:$I,0)),"")</f>
        <v/>
      </c>
      <c r="F1005" s="67" t="str">
        <f>IFERROR(INDEX(_Datos!F:F,MATCH(998,_Datos!$I:$I,0)),"")</f>
        <v/>
      </c>
      <c r="G1005" s="67" t="str">
        <f>IFERROR(INDEX(_Datos!G:G,MATCH(998,_Datos!$I:$I,0)),"")</f>
        <v/>
      </c>
      <c r="H1005" s="70" t="str">
        <f>IFERROR(INDEX(_Datos!H:H,MATCH(998,_Datos!$I:$I,0)),"")</f>
        <v/>
      </c>
    </row>
    <row r="1006" spans="1:8" x14ac:dyDescent="0.2">
      <c r="A1006" s="63" t="str">
        <f>IFERROR(INDEX(_Datos!A:A,MATCH(999,_Datos!$I:$I,0)),"")</f>
        <v/>
      </c>
      <c r="B1006" s="63" t="str">
        <f>IFERROR(INDEX(_Datos!B:B,MATCH(999,_Datos!$I:$I,0)),"")</f>
        <v/>
      </c>
      <c r="C1006" s="63" t="str">
        <f>IFERROR(INDEX(_Datos!C:C,MATCH(999,_Datos!$I:$I,0)),"")</f>
        <v/>
      </c>
      <c r="D1006" s="64" t="str">
        <f>IFERROR(INDEX(_Datos!D:D,MATCH(999,_Datos!$I:$I,0)),"")</f>
        <v/>
      </c>
      <c r="E1006" s="65" t="str">
        <f>IFERROR(INDEX(_Datos!E:E,MATCH(999,_Datos!$I:$I,0)),"")</f>
        <v/>
      </c>
      <c r="F1006" s="63" t="str">
        <f>IFERROR(INDEX(_Datos!F:F,MATCH(999,_Datos!$I:$I,0)),"")</f>
        <v/>
      </c>
      <c r="G1006" s="63" t="str">
        <f>IFERROR(INDEX(_Datos!G:G,MATCH(999,_Datos!$I:$I,0)),"")</f>
        <v/>
      </c>
      <c r="H1006" s="66" t="str">
        <f>IFERROR(INDEX(_Datos!H:H,MATCH(999,_Datos!$I:$I,0)),"")</f>
        <v/>
      </c>
    </row>
    <row r="1007" spans="1:8" x14ac:dyDescent="0.2">
      <c r="A1007" s="67" t="str">
        <f>IFERROR(INDEX(_Datos!A:A,MATCH(1000,_Datos!$I:$I,0)),"")</f>
        <v/>
      </c>
      <c r="B1007" s="67" t="str">
        <f>IFERROR(INDEX(_Datos!B:B,MATCH(1000,_Datos!$I:$I,0)),"")</f>
        <v/>
      </c>
      <c r="C1007" s="67" t="str">
        <f>IFERROR(INDEX(_Datos!C:C,MATCH(1000,_Datos!$I:$I,0)),"")</f>
        <v/>
      </c>
      <c r="D1007" s="68" t="str">
        <f>IFERROR(INDEX(_Datos!D:D,MATCH(1000,_Datos!$I:$I,0)),"")</f>
        <v/>
      </c>
      <c r="E1007" s="69" t="str">
        <f>IFERROR(INDEX(_Datos!E:E,MATCH(1000,_Datos!$I:$I,0)),"")</f>
        <v/>
      </c>
      <c r="F1007" s="67" t="str">
        <f>IFERROR(INDEX(_Datos!F:F,MATCH(1000,_Datos!$I:$I,0)),"")</f>
        <v/>
      </c>
      <c r="G1007" s="67" t="str">
        <f>IFERROR(INDEX(_Datos!G:G,MATCH(1000,_Datos!$I:$I,0)),"")</f>
        <v/>
      </c>
      <c r="H1007" s="70" t="str">
        <f>IFERROR(INDEX(_Datos!H:H,MATCH(1000,_Datos!$I:$I,0)),"")</f>
        <v/>
      </c>
    </row>
    <row r="1008" spans="1:8" x14ac:dyDescent="0.2">
      <c r="A1008" s="63" t="str">
        <f>IFERROR(INDEX(_Datos!A:A,MATCH(1001,_Datos!$I:$I,0)),"")</f>
        <v/>
      </c>
      <c r="B1008" s="63" t="str">
        <f>IFERROR(INDEX(_Datos!B:B,MATCH(1001,_Datos!$I:$I,0)),"")</f>
        <v/>
      </c>
      <c r="C1008" s="63" t="str">
        <f>IFERROR(INDEX(_Datos!C:C,MATCH(1001,_Datos!$I:$I,0)),"")</f>
        <v/>
      </c>
      <c r="D1008" s="64" t="str">
        <f>IFERROR(INDEX(_Datos!D:D,MATCH(1001,_Datos!$I:$I,0)),"")</f>
        <v/>
      </c>
      <c r="E1008" s="65" t="str">
        <f>IFERROR(INDEX(_Datos!E:E,MATCH(1001,_Datos!$I:$I,0)),"")</f>
        <v/>
      </c>
      <c r="F1008" s="63" t="str">
        <f>IFERROR(INDEX(_Datos!F:F,MATCH(1001,_Datos!$I:$I,0)),"")</f>
        <v/>
      </c>
      <c r="G1008" s="63" t="str">
        <f>IFERROR(INDEX(_Datos!G:G,MATCH(1001,_Datos!$I:$I,0)),"")</f>
        <v/>
      </c>
      <c r="H1008" s="66" t="str">
        <f>IFERROR(INDEX(_Datos!H:H,MATCH(1001,_Datos!$I:$I,0)),"")</f>
        <v/>
      </c>
    </row>
    <row r="1009" spans="1:8" x14ac:dyDescent="0.2">
      <c r="A1009" s="67" t="str">
        <f>IFERROR(INDEX(_Datos!A:A,MATCH(1002,_Datos!$I:$I,0)),"")</f>
        <v/>
      </c>
      <c r="B1009" s="67" t="str">
        <f>IFERROR(INDEX(_Datos!B:B,MATCH(1002,_Datos!$I:$I,0)),"")</f>
        <v/>
      </c>
      <c r="C1009" s="67" t="str">
        <f>IFERROR(INDEX(_Datos!C:C,MATCH(1002,_Datos!$I:$I,0)),"")</f>
        <v/>
      </c>
      <c r="D1009" s="68" t="str">
        <f>IFERROR(INDEX(_Datos!D:D,MATCH(1002,_Datos!$I:$I,0)),"")</f>
        <v/>
      </c>
      <c r="E1009" s="69" t="str">
        <f>IFERROR(INDEX(_Datos!E:E,MATCH(1002,_Datos!$I:$I,0)),"")</f>
        <v/>
      </c>
      <c r="F1009" s="67" t="str">
        <f>IFERROR(INDEX(_Datos!F:F,MATCH(1002,_Datos!$I:$I,0)),"")</f>
        <v/>
      </c>
      <c r="G1009" s="67" t="str">
        <f>IFERROR(INDEX(_Datos!G:G,MATCH(1002,_Datos!$I:$I,0)),"")</f>
        <v/>
      </c>
      <c r="H1009" s="70" t="str">
        <f>IFERROR(INDEX(_Datos!H:H,MATCH(1002,_Datos!$I:$I,0)),"")</f>
        <v/>
      </c>
    </row>
    <row r="1010" spans="1:8" x14ac:dyDescent="0.2">
      <c r="A1010" s="63" t="str">
        <f>IFERROR(INDEX(_Datos!A:A,MATCH(1003,_Datos!$I:$I,0)),"")</f>
        <v/>
      </c>
      <c r="B1010" s="63" t="str">
        <f>IFERROR(INDEX(_Datos!B:B,MATCH(1003,_Datos!$I:$I,0)),"")</f>
        <v/>
      </c>
      <c r="C1010" s="63" t="str">
        <f>IFERROR(INDEX(_Datos!C:C,MATCH(1003,_Datos!$I:$I,0)),"")</f>
        <v/>
      </c>
      <c r="D1010" s="64" t="str">
        <f>IFERROR(INDEX(_Datos!D:D,MATCH(1003,_Datos!$I:$I,0)),"")</f>
        <v/>
      </c>
      <c r="E1010" s="65" t="str">
        <f>IFERROR(INDEX(_Datos!E:E,MATCH(1003,_Datos!$I:$I,0)),"")</f>
        <v/>
      </c>
      <c r="F1010" s="63" t="str">
        <f>IFERROR(INDEX(_Datos!F:F,MATCH(1003,_Datos!$I:$I,0)),"")</f>
        <v/>
      </c>
      <c r="G1010" s="63" t="str">
        <f>IFERROR(INDEX(_Datos!G:G,MATCH(1003,_Datos!$I:$I,0)),"")</f>
        <v/>
      </c>
      <c r="H1010" s="66" t="str">
        <f>IFERROR(INDEX(_Datos!H:H,MATCH(1003,_Datos!$I:$I,0)),"")</f>
        <v/>
      </c>
    </row>
    <row r="1011" spans="1:8" x14ac:dyDescent="0.2">
      <c r="A1011" s="67" t="str">
        <f>IFERROR(INDEX(_Datos!A:A,MATCH(1004,_Datos!$I:$I,0)),"")</f>
        <v/>
      </c>
      <c r="B1011" s="67" t="str">
        <f>IFERROR(INDEX(_Datos!B:B,MATCH(1004,_Datos!$I:$I,0)),"")</f>
        <v/>
      </c>
      <c r="C1011" s="67" t="str">
        <f>IFERROR(INDEX(_Datos!C:C,MATCH(1004,_Datos!$I:$I,0)),"")</f>
        <v/>
      </c>
      <c r="D1011" s="68" t="str">
        <f>IFERROR(INDEX(_Datos!D:D,MATCH(1004,_Datos!$I:$I,0)),"")</f>
        <v/>
      </c>
      <c r="E1011" s="69" t="str">
        <f>IFERROR(INDEX(_Datos!E:E,MATCH(1004,_Datos!$I:$I,0)),"")</f>
        <v/>
      </c>
      <c r="F1011" s="67" t="str">
        <f>IFERROR(INDEX(_Datos!F:F,MATCH(1004,_Datos!$I:$I,0)),"")</f>
        <v/>
      </c>
      <c r="G1011" s="67" t="str">
        <f>IFERROR(INDEX(_Datos!G:G,MATCH(1004,_Datos!$I:$I,0)),"")</f>
        <v/>
      </c>
      <c r="H1011" s="70" t="str">
        <f>IFERROR(INDEX(_Datos!H:H,MATCH(1004,_Datos!$I:$I,0)),"")</f>
        <v/>
      </c>
    </row>
    <row r="1012" spans="1:8" x14ac:dyDescent="0.2">
      <c r="A1012" s="63" t="str">
        <f>IFERROR(INDEX(_Datos!A:A,MATCH(1005,_Datos!$I:$I,0)),"")</f>
        <v/>
      </c>
      <c r="B1012" s="63" t="str">
        <f>IFERROR(INDEX(_Datos!B:B,MATCH(1005,_Datos!$I:$I,0)),"")</f>
        <v/>
      </c>
      <c r="C1012" s="63" t="str">
        <f>IFERROR(INDEX(_Datos!C:C,MATCH(1005,_Datos!$I:$I,0)),"")</f>
        <v/>
      </c>
      <c r="D1012" s="64" t="str">
        <f>IFERROR(INDEX(_Datos!D:D,MATCH(1005,_Datos!$I:$I,0)),"")</f>
        <v/>
      </c>
      <c r="E1012" s="65" t="str">
        <f>IFERROR(INDEX(_Datos!E:E,MATCH(1005,_Datos!$I:$I,0)),"")</f>
        <v/>
      </c>
      <c r="F1012" s="63" t="str">
        <f>IFERROR(INDEX(_Datos!F:F,MATCH(1005,_Datos!$I:$I,0)),"")</f>
        <v/>
      </c>
      <c r="G1012" s="63" t="str">
        <f>IFERROR(INDEX(_Datos!G:G,MATCH(1005,_Datos!$I:$I,0)),"")</f>
        <v/>
      </c>
      <c r="H1012" s="66" t="str">
        <f>IFERROR(INDEX(_Datos!H:H,MATCH(1005,_Datos!$I:$I,0)),"")</f>
        <v/>
      </c>
    </row>
    <row r="1013" spans="1:8" x14ac:dyDescent="0.2">
      <c r="A1013" s="67" t="str">
        <f>IFERROR(INDEX(_Datos!A:A,MATCH(1006,_Datos!$I:$I,0)),"")</f>
        <v/>
      </c>
      <c r="B1013" s="67" t="str">
        <f>IFERROR(INDEX(_Datos!B:B,MATCH(1006,_Datos!$I:$I,0)),"")</f>
        <v/>
      </c>
      <c r="C1013" s="67" t="str">
        <f>IFERROR(INDEX(_Datos!C:C,MATCH(1006,_Datos!$I:$I,0)),"")</f>
        <v/>
      </c>
      <c r="D1013" s="68" t="str">
        <f>IFERROR(INDEX(_Datos!D:D,MATCH(1006,_Datos!$I:$I,0)),"")</f>
        <v/>
      </c>
      <c r="E1013" s="69" t="str">
        <f>IFERROR(INDEX(_Datos!E:E,MATCH(1006,_Datos!$I:$I,0)),"")</f>
        <v/>
      </c>
      <c r="F1013" s="67" t="str">
        <f>IFERROR(INDEX(_Datos!F:F,MATCH(1006,_Datos!$I:$I,0)),"")</f>
        <v/>
      </c>
      <c r="G1013" s="67" t="str">
        <f>IFERROR(INDEX(_Datos!G:G,MATCH(1006,_Datos!$I:$I,0)),"")</f>
        <v/>
      </c>
      <c r="H1013" s="70" t="str">
        <f>IFERROR(INDEX(_Datos!H:H,MATCH(1006,_Datos!$I:$I,0)),"")</f>
        <v/>
      </c>
    </row>
    <row r="1014" spans="1:8" x14ac:dyDescent="0.2">
      <c r="A1014" s="63" t="str">
        <f>IFERROR(INDEX(_Datos!A:A,MATCH(1007,_Datos!$I:$I,0)),"")</f>
        <v/>
      </c>
      <c r="B1014" s="63" t="str">
        <f>IFERROR(INDEX(_Datos!B:B,MATCH(1007,_Datos!$I:$I,0)),"")</f>
        <v/>
      </c>
      <c r="C1014" s="63" t="str">
        <f>IFERROR(INDEX(_Datos!C:C,MATCH(1007,_Datos!$I:$I,0)),"")</f>
        <v/>
      </c>
      <c r="D1014" s="64" t="str">
        <f>IFERROR(INDEX(_Datos!D:D,MATCH(1007,_Datos!$I:$I,0)),"")</f>
        <v/>
      </c>
      <c r="E1014" s="65" t="str">
        <f>IFERROR(INDEX(_Datos!E:E,MATCH(1007,_Datos!$I:$I,0)),"")</f>
        <v/>
      </c>
      <c r="F1014" s="63" t="str">
        <f>IFERROR(INDEX(_Datos!F:F,MATCH(1007,_Datos!$I:$I,0)),"")</f>
        <v/>
      </c>
      <c r="G1014" s="63" t="str">
        <f>IFERROR(INDEX(_Datos!G:G,MATCH(1007,_Datos!$I:$I,0)),"")</f>
        <v/>
      </c>
      <c r="H1014" s="66" t="str">
        <f>IFERROR(INDEX(_Datos!H:H,MATCH(1007,_Datos!$I:$I,0)),"")</f>
        <v/>
      </c>
    </row>
    <row r="1015" spans="1:8" x14ac:dyDescent="0.2">
      <c r="A1015" s="67" t="str">
        <f>IFERROR(INDEX(_Datos!A:A,MATCH(1008,_Datos!$I:$I,0)),"")</f>
        <v/>
      </c>
      <c r="B1015" s="67" t="str">
        <f>IFERROR(INDEX(_Datos!B:B,MATCH(1008,_Datos!$I:$I,0)),"")</f>
        <v/>
      </c>
      <c r="C1015" s="67" t="str">
        <f>IFERROR(INDEX(_Datos!C:C,MATCH(1008,_Datos!$I:$I,0)),"")</f>
        <v/>
      </c>
      <c r="D1015" s="68" t="str">
        <f>IFERROR(INDEX(_Datos!D:D,MATCH(1008,_Datos!$I:$I,0)),"")</f>
        <v/>
      </c>
      <c r="E1015" s="69" t="str">
        <f>IFERROR(INDEX(_Datos!E:E,MATCH(1008,_Datos!$I:$I,0)),"")</f>
        <v/>
      </c>
      <c r="F1015" s="67" t="str">
        <f>IFERROR(INDEX(_Datos!F:F,MATCH(1008,_Datos!$I:$I,0)),"")</f>
        <v/>
      </c>
      <c r="G1015" s="67" t="str">
        <f>IFERROR(INDEX(_Datos!G:G,MATCH(1008,_Datos!$I:$I,0)),"")</f>
        <v/>
      </c>
      <c r="H1015" s="70" t="str">
        <f>IFERROR(INDEX(_Datos!H:H,MATCH(1008,_Datos!$I:$I,0)),"")</f>
        <v/>
      </c>
    </row>
    <row r="1016" spans="1:8" x14ac:dyDescent="0.2">
      <c r="A1016" s="63" t="str">
        <f>IFERROR(INDEX(_Datos!A:A,MATCH(1009,_Datos!$I:$I,0)),"")</f>
        <v/>
      </c>
      <c r="B1016" s="63" t="str">
        <f>IFERROR(INDEX(_Datos!B:B,MATCH(1009,_Datos!$I:$I,0)),"")</f>
        <v/>
      </c>
      <c r="C1016" s="63" t="str">
        <f>IFERROR(INDEX(_Datos!C:C,MATCH(1009,_Datos!$I:$I,0)),"")</f>
        <v/>
      </c>
      <c r="D1016" s="64" t="str">
        <f>IFERROR(INDEX(_Datos!D:D,MATCH(1009,_Datos!$I:$I,0)),"")</f>
        <v/>
      </c>
      <c r="E1016" s="65" t="str">
        <f>IFERROR(INDEX(_Datos!E:E,MATCH(1009,_Datos!$I:$I,0)),"")</f>
        <v/>
      </c>
      <c r="F1016" s="63" t="str">
        <f>IFERROR(INDEX(_Datos!F:F,MATCH(1009,_Datos!$I:$I,0)),"")</f>
        <v/>
      </c>
      <c r="G1016" s="63" t="str">
        <f>IFERROR(INDEX(_Datos!G:G,MATCH(1009,_Datos!$I:$I,0)),"")</f>
        <v/>
      </c>
      <c r="H1016" s="66" t="str">
        <f>IFERROR(INDEX(_Datos!H:H,MATCH(1009,_Datos!$I:$I,0)),"")</f>
        <v/>
      </c>
    </row>
    <row r="1017" spans="1:8" x14ac:dyDescent="0.2">
      <c r="A1017" s="67" t="str">
        <f>IFERROR(INDEX(_Datos!A:A,MATCH(1010,_Datos!$I:$I,0)),"")</f>
        <v/>
      </c>
      <c r="B1017" s="67" t="str">
        <f>IFERROR(INDEX(_Datos!B:B,MATCH(1010,_Datos!$I:$I,0)),"")</f>
        <v/>
      </c>
      <c r="C1017" s="67" t="str">
        <f>IFERROR(INDEX(_Datos!C:C,MATCH(1010,_Datos!$I:$I,0)),"")</f>
        <v/>
      </c>
      <c r="D1017" s="68" t="str">
        <f>IFERROR(INDEX(_Datos!D:D,MATCH(1010,_Datos!$I:$I,0)),"")</f>
        <v/>
      </c>
      <c r="E1017" s="69" t="str">
        <f>IFERROR(INDEX(_Datos!E:E,MATCH(1010,_Datos!$I:$I,0)),"")</f>
        <v/>
      </c>
      <c r="F1017" s="67" t="str">
        <f>IFERROR(INDEX(_Datos!F:F,MATCH(1010,_Datos!$I:$I,0)),"")</f>
        <v/>
      </c>
      <c r="G1017" s="67" t="str">
        <f>IFERROR(INDEX(_Datos!G:G,MATCH(1010,_Datos!$I:$I,0)),"")</f>
        <v/>
      </c>
      <c r="H1017" s="70" t="str">
        <f>IFERROR(INDEX(_Datos!H:H,MATCH(1010,_Datos!$I:$I,0)),"")</f>
        <v/>
      </c>
    </row>
    <row r="1018" spans="1:8" x14ac:dyDescent="0.2">
      <c r="A1018" s="63" t="str">
        <f>IFERROR(INDEX(_Datos!A:A,MATCH(1011,_Datos!$I:$I,0)),"")</f>
        <v/>
      </c>
      <c r="B1018" s="63" t="str">
        <f>IFERROR(INDEX(_Datos!B:B,MATCH(1011,_Datos!$I:$I,0)),"")</f>
        <v/>
      </c>
      <c r="C1018" s="63" t="str">
        <f>IFERROR(INDEX(_Datos!C:C,MATCH(1011,_Datos!$I:$I,0)),"")</f>
        <v/>
      </c>
      <c r="D1018" s="64" t="str">
        <f>IFERROR(INDEX(_Datos!D:D,MATCH(1011,_Datos!$I:$I,0)),"")</f>
        <v/>
      </c>
      <c r="E1018" s="65" t="str">
        <f>IFERROR(INDEX(_Datos!E:E,MATCH(1011,_Datos!$I:$I,0)),"")</f>
        <v/>
      </c>
      <c r="F1018" s="63" t="str">
        <f>IFERROR(INDEX(_Datos!F:F,MATCH(1011,_Datos!$I:$I,0)),"")</f>
        <v/>
      </c>
      <c r="G1018" s="63" t="str">
        <f>IFERROR(INDEX(_Datos!G:G,MATCH(1011,_Datos!$I:$I,0)),"")</f>
        <v/>
      </c>
      <c r="H1018" s="66" t="str">
        <f>IFERROR(INDEX(_Datos!H:H,MATCH(1011,_Datos!$I:$I,0)),"")</f>
        <v/>
      </c>
    </row>
    <row r="1019" spans="1:8" x14ac:dyDescent="0.2">
      <c r="A1019" s="67" t="str">
        <f>IFERROR(INDEX(_Datos!A:A,MATCH(1012,_Datos!$I:$I,0)),"")</f>
        <v/>
      </c>
      <c r="B1019" s="67" t="str">
        <f>IFERROR(INDEX(_Datos!B:B,MATCH(1012,_Datos!$I:$I,0)),"")</f>
        <v/>
      </c>
      <c r="C1019" s="67" t="str">
        <f>IFERROR(INDEX(_Datos!C:C,MATCH(1012,_Datos!$I:$I,0)),"")</f>
        <v/>
      </c>
      <c r="D1019" s="68" t="str">
        <f>IFERROR(INDEX(_Datos!D:D,MATCH(1012,_Datos!$I:$I,0)),"")</f>
        <v/>
      </c>
      <c r="E1019" s="69" t="str">
        <f>IFERROR(INDEX(_Datos!E:E,MATCH(1012,_Datos!$I:$I,0)),"")</f>
        <v/>
      </c>
      <c r="F1019" s="67" t="str">
        <f>IFERROR(INDEX(_Datos!F:F,MATCH(1012,_Datos!$I:$I,0)),"")</f>
        <v/>
      </c>
      <c r="G1019" s="67" t="str">
        <f>IFERROR(INDEX(_Datos!G:G,MATCH(1012,_Datos!$I:$I,0)),"")</f>
        <v/>
      </c>
      <c r="H1019" s="70" t="str">
        <f>IFERROR(INDEX(_Datos!H:H,MATCH(1012,_Datos!$I:$I,0)),"")</f>
        <v/>
      </c>
    </row>
    <row r="1020" spans="1:8" x14ac:dyDescent="0.2">
      <c r="A1020" s="63" t="str">
        <f>IFERROR(INDEX(_Datos!A:A,MATCH(1013,_Datos!$I:$I,0)),"")</f>
        <v/>
      </c>
      <c r="B1020" s="63" t="str">
        <f>IFERROR(INDEX(_Datos!B:B,MATCH(1013,_Datos!$I:$I,0)),"")</f>
        <v/>
      </c>
      <c r="C1020" s="63" t="str">
        <f>IFERROR(INDEX(_Datos!C:C,MATCH(1013,_Datos!$I:$I,0)),"")</f>
        <v/>
      </c>
      <c r="D1020" s="64" t="str">
        <f>IFERROR(INDEX(_Datos!D:D,MATCH(1013,_Datos!$I:$I,0)),"")</f>
        <v/>
      </c>
      <c r="E1020" s="65" t="str">
        <f>IFERROR(INDEX(_Datos!E:E,MATCH(1013,_Datos!$I:$I,0)),"")</f>
        <v/>
      </c>
      <c r="F1020" s="63" t="str">
        <f>IFERROR(INDEX(_Datos!F:F,MATCH(1013,_Datos!$I:$I,0)),"")</f>
        <v/>
      </c>
      <c r="G1020" s="63" t="str">
        <f>IFERROR(INDEX(_Datos!G:G,MATCH(1013,_Datos!$I:$I,0)),"")</f>
        <v/>
      </c>
      <c r="H1020" s="66" t="str">
        <f>IFERROR(INDEX(_Datos!H:H,MATCH(1013,_Datos!$I:$I,0)),"")</f>
        <v/>
      </c>
    </row>
    <row r="1021" spans="1:8" x14ac:dyDescent="0.2">
      <c r="A1021" s="67" t="str">
        <f>IFERROR(INDEX(_Datos!A:A,MATCH(1014,_Datos!$I:$I,0)),"")</f>
        <v/>
      </c>
      <c r="B1021" s="67" t="str">
        <f>IFERROR(INDEX(_Datos!B:B,MATCH(1014,_Datos!$I:$I,0)),"")</f>
        <v/>
      </c>
      <c r="C1021" s="67" t="str">
        <f>IFERROR(INDEX(_Datos!C:C,MATCH(1014,_Datos!$I:$I,0)),"")</f>
        <v/>
      </c>
      <c r="D1021" s="68" t="str">
        <f>IFERROR(INDEX(_Datos!D:D,MATCH(1014,_Datos!$I:$I,0)),"")</f>
        <v/>
      </c>
      <c r="E1021" s="69" t="str">
        <f>IFERROR(INDEX(_Datos!E:E,MATCH(1014,_Datos!$I:$I,0)),"")</f>
        <v/>
      </c>
      <c r="F1021" s="67" t="str">
        <f>IFERROR(INDEX(_Datos!F:F,MATCH(1014,_Datos!$I:$I,0)),"")</f>
        <v/>
      </c>
      <c r="G1021" s="67" t="str">
        <f>IFERROR(INDEX(_Datos!G:G,MATCH(1014,_Datos!$I:$I,0)),"")</f>
        <v/>
      </c>
      <c r="H1021" s="70" t="str">
        <f>IFERROR(INDEX(_Datos!H:H,MATCH(1014,_Datos!$I:$I,0)),"")</f>
        <v/>
      </c>
    </row>
    <row r="1022" spans="1:8" x14ac:dyDescent="0.2">
      <c r="A1022" s="63" t="str">
        <f>IFERROR(INDEX(_Datos!A:A,MATCH(1015,_Datos!$I:$I,0)),"")</f>
        <v/>
      </c>
      <c r="B1022" s="63" t="str">
        <f>IFERROR(INDEX(_Datos!B:B,MATCH(1015,_Datos!$I:$I,0)),"")</f>
        <v/>
      </c>
      <c r="C1022" s="63" t="str">
        <f>IFERROR(INDEX(_Datos!C:C,MATCH(1015,_Datos!$I:$I,0)),"")</f>
        <v/>
      </c>
      <c r="D1022" s="64" t="str">
        <f>IFERROR(INDEX(_Datos!D:D,MATCH(1015,_Datos!$I:$I,0)),"")</f>
        <v/>
      </c>
      <c r="E1022" s="65" t="str">
        <f>IFERROR(INDEX(_Datos!E:E,MATCH(1015,_Datos!$I:$I,0)),"")</f>
        <v/>
      </c>
      <c r="F1022" s="63" t="str">
        <f>IFERROR(INDEX(_Datos!F:F,MATCH(1015,_Datos!$I:$I,0)),"")</f>
        <v/>
      </c>
      <c r="G1022" s="63" t="str">
        <f>IFERROR(INDEX(_Datos!G:G,MATCH(1015,_Datos!$I:$I,0)),"")</f>
        <v/>
      </c>
      <c r="H1022" s="66" t="str">
        <f>IFERROR(INDEX(_Datos!H:H,MATCH(1015,_Datos!$I:$I,0)),"")</f>
        <v/>
      </c>
    </row>
    <row r="1023" spans="1:8" x14ac:dyDescent="0.2">
      <c r="A1023" s="67" t="str">
        <f>IFERROR(INDEX(_Datos!A:A,MATCH(1016,_Datos!$I:$I,0)),"")</f>
        <v/>
      </c>
      <c r="B1023" s="67" t="str">
        <f>IFERROR(INDEX(_Datos!B:B,MATCH(1016,_Datos!$I:$I,0)),"")</f>
        <v/>
      </c>
      <c r="C1023" s="67" t="str">
        <f>IFERROR(INDEX(_Datos!C:C,MATCH(1016,_Datos!$I:$I,0)),"")</f>
        <v/>
      </c>
      <c r="D1023" s="68" t="str">
        <f>IFERROR(INDEX(_Datos!D:D,MATCH(1016,_Datos!$I:$I,0)),"")</f>
        <v/>
      </c>
      <c r="E1023" s="69" t="str">
        <f>IFERROR(INDEX(_Datos!E:E,MATCH(1016,_Datos!$I:$I,0)),"")</f>
        <v/>
      </c>
      <c r="F1023" s="67" t="str">
        <f>IFERROR(INDEX(_Datos!F:F,MATCH(1016,_Datos!$I:$I,0)),"")</f>
        <v/>
      </c>
      <c r="G1023" s="67" t="str">
        <f>IFERROR(INDEX(_Datos!G:G,MATCH(1016,_Datos!$I:$I,0)),"")</f>
        <v/>
      </c>
      <c r="H1023" s="70" t="str">
        <f>IFERROR(INDEX(_Datos!H:H,MATCH(1016,_Datos!$I:$I,0)),"")</f>
        <v/>
      </c>
    </row>
    <row r="1024" spans="1:8" x14ac:dyDescent="0.2">
      <c r="A1024" s="63" t="str">
        <f>IFERROR(INDEX(_Datos!A:A,MATCH(1017,_Datos!$I:$I,0)),"")</f>
        <v/>
      </c>
      <c r="B1024" s="63" t="str">
        <f>IFERROR(INDEX(_Datos!B:B,MATCH(1017,_Datos!$I:$I,0)),"")</f>
        <v/>
      </c>
      <c r="C1024" s="63" t="str">
        <f>IFERROR(INDEX(_Datos!C:C,MATCH(1017,_Datos!$I:$I,0)),"")</f>
        <v/>
      </c>
      <c r="D1024" s="64" t="str">
        <f>IFERROR(INDEX(_Datos!D:D,MATCH(1017,_Datos!$I:$I,0)),"")</f>
        <v/>
      </c>
      <c r="E1024" s="65" t="str">
        <f>IFERROR(INDEX(_Datos!E:E,MATCH(1017,_Datos!$I:$I,0)),"")</f>
        <v/>
      </c>
      <c r="F1024" s="63" t="str">
        <f>IFERROR(INDEX(_Datos!F:F,MATCH(1017,_Datos!$I:$I,0)),"")</f>
        <v/>
      </c>
      <c r="G1024" s="63" t="str">
        <f>IFERROR(INDEX(_Datos!G:G,MATCH(1017,_Datos!$I:$I,0)),"")</f>
        <v/>
      </c>
      <c r="H1024" s="66" t="str">
        <f>IFERROR(INDEX(_Datos!H:H,MATCH(1017,_Datos!$I:$I,0)),"")</f>
        <v/>
      </c>
    </row>
    <row r="1025" spans="1:8" x14ac:dyDescent="0.2">
      <c r="A1025" s="67" t="str">
        <f>IFERROR(INDEX(_Datos!A:A,MATCH(1018,_Datos!$I:$I,0)),"")</f>
        <v/>
      </c>
      <c r="B1025" s="67" t="str">
        <f>IFERROR(INDEX(_Datos!B:B,MATCH(1018,_Datos!$I:$I,0)),"")</f>
        <v/>
      </c>
      <c r="C1025" s="67" t="str">
        <f>IFERROR(INDEX(_Datos!C:C,MATCH(1018,_Datos!$I:$I,0)),"")</f>
        <v/>
      </c>
      <c r="D1025" s="68" t="str">
        <f>IFERROR(INDEX(_Datos!D:D,MATCH(1018,_Datos!$I:$I,0)),"")</f>
        <v/>
      </c>
      <c r="E1025" s="69" t="str">
        <f>IFERROR(INDEX(_Datos!E:E,MATCH(1018,_Datos!$I:$I,0)),"")</f>
        <v/>
      </c>
      <c r="F1025" s="67" t="str">
        <f>IFERROR(INDEX(_Datos!F:F,MATCH(1018,_Datos!$I:$I,0)),"")</f>
        <v/>
      </c>
      <c r="G1025" s="67" t="str">
        <f>IFERROR(INDEX(_Datos!G:G,MATCH(1018,_Datos!$I:$I,0)),"")</f>
        <v/>
      </c>
      <c r="H1025" s="70" t="str">
        <f>IFERROR(INDEX(_Datos!H:H,MATCH(1018,_Datos!$I:$I,0)),"")</f>
        <v/>
      </c>
    </row>
    <row r="1026" spans="1:8" x14ac:dyDescent="0.2">
      <c r="A1026" s="63" t="str">
        <f>IFERROR(INDEX(_Datos!A:A,MATCH(1019,_Datos!$I:$I,0)),"")</f>
        <v/>
      </c>
      <c r="B1026" s="63" t="str">
        <f>IFERROR(INDEX(_Datos!B:B,MATCH(1019,_Datos!$I:$I,0)),"")</f>
        <v/>
      </c>
      <c r="C1026" s="63" t="str">
        <f>IFERROR(INDEX(_Datos!C:C,MATCH(1019,_Datos!$I:$I,0)),"")</f>
        <v/>
      </c>
      <c r="D1026" s="64" t="str">
        <f>IFERROR(INDEX(_Datos!D:D,MATCH(1019,_Datos!$I:$I,0)),"")</f>
        <v/>
      </c>
      <c r="E1026" s="65" t="str">
        <f>IFERROR(INDEX(_Datos!E:E,MATCH(1019,_Datos!$I:$I,0)),"")</f>
        <v/>
      </c>
      <c r="F1026" s="63" t="str">
        <f>IFERROR(INDEX(_Datos!F:F,MATCH(1019,_Datos!$I:$I,0)),"")</f>
        <v/>
      </c>
      <c r="G1026" s="63" t="str">
        <f>IFERROR(INDEX(_Datos!G:G,MATCH(1019,_Datos!$I:$I,0)),"")</f>
        <v/>
      </c>
      <c r="H1026" s="66" t="str">
        <f>IFERROR(INDEX(_Datos!H:H,MATCH(1019,_Datos!$I:$I,0)),"")</f>
        <v/>
      </c>
    </row>
    <row r="1027" spans="1:8" x14ac:dyDescent="0.2">
      <c r="A1027" s="67" t="str">
        <f>IFERROR(INDEX(_Datos!A:A,MATCH(1020,_Datos!$I:$I,0)),"")</f>
        <v/>
      </c>
      <c r="B1027" s="67" t="str">
        <f>IFERROR(INDEX(_Datos!B:B,MATCH(1020,_Datos!$I:$I,0)),"")</f>
        <v/>
      </c>
      <c r="C1027" s="67" t="str">
        <f>IFERROR(INDEX(_Datos!C:C,MATCH(1020,_Datos!$I:$I,0)),"")</f>
        <v/>
      </c>
      <c r="D1027" s="68" t="str">
        <f>IFERROR(INDEX(_Datos!D:D,MATCH(1020,_Datos!$I:$I,0)),"")</f>
        <v/>
      </c>
      <c r="E1027" s="69" t="str">
        <f>IFERROR(INDEX(_Datos!E:E,MATCH(1020,_Datos!$I:$I,0)),"")</f>
        <v/>
      </c>
      <c r="F1027" s="67" t="str">
        <f>IFERROR(INDEX(_Datos!F:F,MATCH(1020,_Datos!$I:$I,0)),"")</f>
        <v/>
      </c>
      <c r="G1027" s="67" t="str">
        <f>IFERROR(INDEX(_Datos!G:G,MATCH(1020,_Datos!$I:$I,0)),"")</f>
        <v/>
      </c>
      <c r="H1027" s="70" t="str">
        <f>IFERROR(INDEX(_Datos!H:H,MATCH(1020,_Datos!$I:$I,0)),"")</f>
        <v/>
      </c>
    </row>
    <row r="1028" spans="1:8" x14ac:dyDescent="0.2">
      <c r="A1028" s="63" t="str">
        <f>IFERROR(INDEX(_Datos!A:A,MATCH(1021,_Datos!$I:$I,0)),"")</f>
        <v/>
      </c>
      <c r="B1028" s="63" t="str">
        <f>IFERROR(INDEX(_Datos!B:B,MATCH(1021,_Datos!$I:$I,0)),"")</f>
        <v/>
      </c>
      <c r="C1028" s="63" t="str">
        <f>IFERROR(INDEX(_Datos!C:C,MATCH(1021,_Datos!$I:$I,0)),"")</f>
        <v/>
      </c>
      <c r="D1028" s="64" t="str">
        <f>IFERROR(INDEX(_Datos!D:D,MATCH(1021,_Datos!$I:$I,0)),"")</f>
        <v/>
      </c>
      <c r="E1028" s="65" t="str">
        <f>IFERROR(INDEX(_Datos!E:E,MATCH(1021,_Datos!$I:$I,0)),"")</f>
        <v/>
      </c>
      <c r="F1028" s="63" t="str">
        <f>IFERROR(INDEX(_Datos!F:F,MATCH(1021,_Datos!$I:$I,0)),"")</f>
        <v/>
      </c>
      <c r="G1028" s="63" t="str">
        <f>IFERROR(INDEX(_Datos!G:G,MATCH(1021,_Datos!$I:$I,0)),"")</f>
        <v/>
      </c>
      <c r="H1028" s="66" t="str">
        <f>IFERROR(INDEX(_Datos!H:H,MATCH(1021,_Datos!$I:$I,0)),"")</f>
        <v/>
      </c>
    </row>
    <row r="1029" spans="1:8" x14ac:dyDescent="0.2">
      <c r="A1029" s="67" t="str">
        <f>IFERROR(INDEX(_Datos!A:A,MATCH(1022,_Datos!$I:$I,0)),"")</f>
        <v/>
      </c>
      <c r="B1029" s="67" t="str">
        <f>IFERROR(INDEX(_Datos!B:B,MATCH(1022,_Datos!$I:$I,0)),"")</f>
        <v/>
      </c>
      <c r="C1029" s="67" t="str">
        <f>IFERROR(INDEX(_Datos!C:C,MATCH(1022,_Datos!$I:$I,0)),"")</f>
        <v/>
      </c>
      <c r="D1029" s="68" t="str">
        <f>IFERROR(INDEX(_Datos!D:D,MATCH(1022,_Datos!$I:$I,0)),"")</f>
        <v/>
      </c>
      <c r="E1029" s="69" t="str">
        <f>IFERROR(INDEX(_Datos!E:E,MATCH(1022,_Datos!$I:$I,0)),"")</f>
        <v/>
      </c>
      <c r="F1029" s="67" t="str">
        <f>IFERROR(INDEX(_Datos!F:F,MATCH(1022,_Datos!$I:$I,0)),"")</f>
        <v/>
      </c>
      <c r="G1029" s="67" t="str">
        <f>IFERROR(INDEX(_Datos!G:G,MATCH(1022,_Datos!$I:$I,0)),"")</f>
        <v/>
      </c>
      <c r="H1029" s="70" t="str">
        <f>IFERROR(INDEX(_Datos!H:H,MATCH(1022,_Datos!$I:$I,0)),"")</f>
        <v/>
      </c>
    </row>
    <row r="1030" spans="1:8" x14ac:dyDescent="0.2">
      <c r="A1030" s="63" t="str">
        <f>IFERROR(INDEX(_Datos!A:A,MATCH(1023,_Datos!$I:$I,0)),"")</f>
        <v/>
      </c>
      <c r="B1030" s="63" t="str">
        <f>IFERROR(INDEX(_Datos!B:B,MATCH(1023,_Datos!$I:$I,0)),"")</f>
        <v/>
      </c>
      <c r="C1030" s="63" t="str">
        <f>IFERROR(INDEX(_Datos!C:C,MATCH(1023,_Datos!$I:$I,0)),"")</f>
        <v/>
      </c>
      <c r="D1030" s="64" t="str">
        <f>IFERROR(INDEX(_Datos!D:D,MATCH(1023,_Datos!$I:$I,0)),"")</f>
        <v/>
      </c>
      <c r="E1030" s="65" t="str">
        <f>IFERROR(INDEX(_Datos!E:E,MATCH(1023,_Datos!$I:$I,0)),"")</f>
        <v/>
      </c>
      <c r="F1030" s="63" t="str">
        <f>IFERROR(INDEX(_Datos!F:F,MATCH(1023,_Datos!$I:$I,0)),"")</f>
        <v/>
      </c>
      <c r="G1030" s="63" t="str">
        <f>IFERROR(INDEX(_Datos!G:G,MATCH(1023,_Datos!$I:$I,0)),"")</f>
        <v/>
      </c>
      <c r="H1030" s="66" t="str">
        <f>IFERROR(INDEX(_Datos!H:H,MATCH(1023,_Datos!$I:$I,0)),"")</f>
        <v/>
      </c>
    </row>
    <row r="1031" spans="1:8" x14ac:dyDescent="0.2">
      <c r="A1031" s="67" t="str">
        <f>IFERROR(INDEX(_Datos!A:A,MATCH(1024,_Datos!$I:$I,0)),"")</f>
        <v/>
      </c>
      <c r="B1031" s="67" t="str">
        <f>IFERROR(INDEX(_Datos!B:B,MATCH(1024,_Datos!$I:$I,0)),"")</f>
        <v/>
      </c>
      <c r="C1031" s="67" t="str">
        <f>IFERROR(INDEX(_Datos!C:C,MATCH(1024,_Datos!$I:$I,0)),"")</f>
        <v/>
      </c>
      <c r="D1031" s="68" t="str">
        <f>IFERROR(INDEX(_Datos!D:D,MATCH(1024,_Datos!$I:$I,0)),"")</f>
        <v/>
      </c>
      <c r="E1031" s="69" t="str">
        <f>IFERROR(INDEX(_Datos!E:E,MATCH(1024,_Datos!$I:$I,0)),"")</f>
        <v/>
      </c>
      <c r="F1031" s="67" t="str">
        <f>IFERROR(INDEX(_Datos!F:F,MATCH(1024,_Datos!$I:$I,0)),"")</f>
        <v/>
      </c>
      <c r="G1031" s="67" t="str">
        <f>IFERROR(INDEX(_Datos!G:G,MATCH(1024,_Datos!$I:$I,0)),"")</f>
        <v/>
      </c>
      <c r="H1031" s="70" t="str">
        <f>IFERROR(INDEX(_Datos!H:H,MATCH(1024,_Datos!$I:$I,0)),"")</f>
        <v/>
      </c>
    </row>
    <row r="1032" spans="1:8" x14ac:dyDescent="0.2">
      <c r="A1032" s="63" t="str">
        <f>IFERROR(INDEX(_Datos!A:A,MATCH(1025,_Datos!$I:$I,0)),"")</f>
        <v/>
      </c>
      <c r="B1032" s="63" t="str">
        <f>IFERROR(INDEX(_Datos!B:B,MATCH(1025,_Datos!$I:$I,0)),"")</f>
        <v/>
      </c>
      <c r="C1032" s="63" t="str">
        <f>IFERROR(INDEX(_Datos!C:C,MATCH(1025,_Datos!$I:$I,0)),"")</f>
        <v/>
      </c>
      <c r="D1032" s="64" t="str">
        <f>IFERROR(INDEX(_Datos!D:D,MATCH(1025,_Datos!$I:$I,0)),"")</f>
        <v/>
      </c>
      <c r="E1032" s="65" t="str">
        <f>IFERROR(INDEX(_Datos!E:E,MATCH(1025,_Datos!$I:$I,0)),"")</f>
        <v/>
      </c>
      <c r="F1032" s="63" t="str">
        <f>IFERROR(INDEX(_Datos!F:F,MATCH(1025,_Datos!$I:$I,0)),"")</f>
        <v/>
      </c>
      <c r="G1032" s="63" t="str">
        <f>IFERROR(INDEX(_Datos!G:G,MATCH(1025,_Datos!$I:$I,0)),"")</f>
        <v/>
      </c>
      <c r="H1032" s="66" t="str">
        <f>IFERROR(INDEX(_Datos!H:H,MATCH(1025,_Datos!$I:$I,0)),"")</f>
        <v/>
      </c>
    </row>
    <row r="1033" spans="1:8" x14ac:dyDescent="0.2">
      <c r="A1033" s="67" t="str">
        <f>IFERROR(INDEX(_Datos!A:A,MATCH(1026,_Datos!$I:$I,0)),"")</f>
        <v/>
      </c>
      <c r="B1033" s="67" t="str">
        <f>IFERROR(INDEX(_Datos!B:B,MATCH(1026,_Datos!$I:$I,0)),"")</f>
        <v/>
      </c>
      <c r="C1033" s="67" t="str">
        <f>IFERROR(INDEX(_Datos!C:C,MATCH(1026,_Datos!$I:$I,0)),"")</f>
        <v/>
      </c>
      <c r="D1033" s="68" t="str">
        <f>IFERROR(INDEX(_Datos!D:D,MATCH(1026,_Datos!$I:$I,0)),"")</f>
        <v/>
      </c>
      <c r="E1033" s="69" t="str">
        <f>IFERROR(INDEX(_Datos!E:E,MATCH(1026,_Datos!$I:$I,0)),"")</f>
        <v/>
      </c>
      <c r="F1033" s="67" t="str">
        <f>IFERROR(INDEX(_Datos!F:F,MATCH(1026,_Datos!$I:$I,0)),"")</f>
        <v/>
      </c>
      <c r="G1033" s="67" t="str">
        <f>IFERROR(INDEX(_Datos!G:G,MATCH(1026,_Datos!$I:$I,0)),"")</f>
        <v/>
      </c>
      <c r="H1033" s="70" t="str">
        <f>IFERROR(INDEX(_Datos!H:H,MATCH(1026,_Datos!$I:$I,0)),"")</f>
        <v/>
      </c>
    </row>
    <row r="1034" spans="1:8" x14ac:dyDescent="0.2">
      <c r="A1034" s="63" t="str">
        <f>IFERROR(INDEX(_Datos!A:A,MATCH(1027,_Datos!$I:$I,0)),"")</f>
        <v/>
      </c>
      <c r="B1034" s="63" t="str">
        <f>IFERROR(INDEX(_Datos!B:B,MATCH(1027,_Datos!$I:$I,0)),"")</f>
        <v/>
      </c>
      <c r="C1034" s="63" t="str">
        <f>IFERROR(INDEX(_Datos!C:C,MATCH(1027,_Datos!$I:$I,0)),"")</f>
        <v/>
      </c>
      <c r="D1034" s="64" t="str">
        <f>IFERROR(INDEX(_Datos!D:D,MATCH(1027,_Datos!$I:$I,0)),"")</f>
        <v/>
      </c>
      <c r="E1034" s="65" t="str">
        <f>IFERROR(INDEX(_Datos!E:E,MATCH(1027,_Datos!$I:$I,0)),"")</f>
        <v/>
      </c>
      <c r="F1034" s="63" t="str">
        <f>IFERROR(INDEX(_Datos!F:F,MATCH(1027,_Datos!$I:$I,0)),"")</f>
        <v/>
      </c>
      <c r="G1034" s="63" t="str">
        <f>IFERROR(INDEX(_Datos!G:G,MATCH(1027,_Datos!$I:$I,0)),"")</f>
        <v/>
      </c>
      <c r="H1034" s="66" t="str">
        <f>IFERROR(INDEX(_Datos!H:H,MATCH(1027,_Datos!$I:$I,0)),"")</f>
        <v/>
      </c>
    </row>
    <row r="1035" spans="1:8" x14ac:dyDescent="0.2">
      <c r="A1035" s="67" t="str">
        <f>IFERROR(INDEX(_Datos!A:A,MATCH(1028,_Datos!$I:$I,0)),"")</f>
        <v/>
      </c>
      <c r="B1035" s="67" t="str">
        <f>IFERROR(INDEX(_Datos!B:B,MATCH(1028,_Datos!$I:$I,0)),"")</f>
        <v/>
      </c>
      <c r="C1035" s="67" t="str">
        <f>IFERROR(INDEX(_Datos!C:C,MATCH(1028,_Datos!$I:$I,0)),"")</f>
        <v/>
      </c>
      <c r="D1035" s="68" t="str">
        <f>IFERROR(INDEX(_Datos!D:D,MATCH(1028,_Datos!$I:$I,0)),"")</f>
        <v/>
      </c>
      <c r="E1035" s="69" t="str">
        <f>IFERROR(INDEX(_Datos!E:E,MATCH(1028,_Datos!$I:$I,0)),"")</f>
        <v/>
      </c>
      <c r="F1035" s="67" t="str">
        <f>IFERROR(INDEX(_Datos!F:F,MATCH(1028,_Datos!$I:$I,0)),"")</f>
        <v/>
      </c>
      <c r="G1035" s="67" t="str">
        <f>IFERROR(INDEX(_Datos!G:G,MATCH(1028,_Datos!$I:$I,0)),"")</f>
        <v/>
      </c>
      <c r="H1035" s="70" t="str">
        <f>IFERROR(INDEX(_Datos!H:H,MATCH(1028,_Datos!$I:$I,0)),"")</f>
        <v/>
      </c>
    </row>
    <row r="1036" spans="1:8" x14ac:dyDescent="0.2">
      <c r="A1036" s="63" t="str">
        <f>IFERROR(INDEX(_Datos!A:A,MATCH(1029,_Datos!$I:$I,0)),"")</f>
        <v/>
      </c>
      <c r="B1036" s="63" t="str">
        <f>IFERROR(INDEX(_Datos!B:B,MATCH(1029,_Datos!$I:$I,0)),"")</f>
        <v/>
      </c>
      <c r="C1036" s="63" t="str">
        <f>IFERROR(INDEX(_Datos!C:C,MATCH(1029,_Datos!$I:$I,0)),"")</f>
        <v/>
      </c>
      <c r="D1036" s="64" t="str">
        <f>IFERROR(INDEX(_Datos!D:D,MATCH(1029,_Datos!$I:$I,0)),"")</f>
        <v/>
      </c>
      <c r="E1036" s="65" t="str">
        <f>IFERROR(INDEX(_Datos!E:E,MATCH(1029,_Datos!$I:$I,0)),"")</f>
        <v/>
      </c>
      <c r="F1036" s="63" t="str">
        <f>IFERROR(INDEX(_Datos!F:F,MATCH(1029,_Datos!$I:$I,0)),"")</f>
        <v/>
      </c>
      <c r="G1036" s="63" t="str">
        <f>IFERROR(INDEX(_Datos!G:G,MATCH(1029,_Datos!$I:$I,0)),"")</f>
        <v/>
      </c>
      <c r="H1036" s="66" t="str">
        <f>IFERROR(INDEX(_Datos!H:H,MATCH(1029,_Datos!$I:$I,0)),"")</f>
        <v/>
      </c>
    </row>
    <row r="1037" spans="1:8" x14ac:dyDescent="0.2">
      <c r="A1037" s="67" t="str">
        <f>IFERROR(INDEX(_Datos!A:A,MATCH(1030,_Datos!$I:$I,0)),"")</f>
        <v/>
      </c>
      <c r="B1037" s="67" t="str">
        <f>IFERROR(INDEX(_Datos!B:B,MATCH(1030,_Datos!$I:$I,0)),"")</f>
        <v/>
      </c>
      <c r="C1037" s="67" t="str">
        <f>IFERROR(INDEX(_Datos!C:C,MATCH(1030,_Datos!$I:$I,0)),"")</f>
        <v/>
      </c>
      <c r="D1037" s="68" t="str">
        <f>IFERROR(INDEX(_Datos!D:D,MATCH(1030,_Datos!$I:$I,0)),"")</f>
        <v/>
      </c>
      <c r="E1037" s="69" t="str">
        <f>IFERROR(INDEX(_Datos!E:E,MATCH(1030,_Datos!$I:$I,0)),"")</f>
        <v/>
      </c>
      <c r="F1037" s="67" t="str">
        <f>IFERROR(INDEX(_Datos!F:F,MATCH(1030,_Datos!$I:$I,0)),"")</f>
        <v/>
      </c>
      <c r="G1037" s="67" t="str">
        <f>IFERROR(INDEX(_Datos!G:G,MATCH(1030,_Datos!$I:$I,0)),"")</f>
        <v/>
      </c>
      <c r="H1037" s="70" t="str">
        <f>IFERROR(INDEX(_Datos!H:H,MATCH(1030,_Datos!$I:$I,0)),"")</f>
        <v/>
      </c>
    </row>
    <row r="1038" spans="1:8" x14ac:dyDescent="0.2">
      <c r="A1038" s="63" t="str">
        <f>IFERROR(INDEX(_Datos!A:A,MATCH(1031,_Datos!$I:$I,0)),"")</f>
        <v/>
      </c>
      <c r="B1038" s="63" t="str">
        <f>IFERROR(INDEX(_Datos!B:B,MATCH(1031,_Datos!$I:$I,0)),"")</f>
        <v/>
      </c>
      <c r="C1038" s="63" t="str">
        <f>IFERROR(INDEX(_Datos!C:C,MATCH(1031,_Datos!$I:$I,0)),"")</f>
        <v/>
      </c>
      <c r="D1038" s="64" t="str">
        <f>IFERROR(INDEX(_Datos!D:D,MATCH(1031,_Datos!$I:$I,0)),"")</f>
        <v/>
      </c>
      <c r="E1038" s="65" t="str">
        <f>IFERROR(INDEX(_Datos!E:E,MATCH(1031,_Datos!$I:$I,0)),"")</f>
        <v/>
      </c>
      <c r="F1038" s="63" t="str">
        <f>IFERROR(INDEX(_Datos!F:F,MATCH(1031,_Datos!$I:$I,0)),"")</f>
        <v/>
      </c>
      <c r="G1038" s="63" t="str">
        <f>IFERROR(INDEX(_Datos!G:G,MATCH(1031,_Datos!$I:$I,0)),"")</f>
        <v/>
      </c>
      <c r="H1038" s="66" t="str">
        <f>IFERROR(INDEX(_Datos!H:H,MATCH(1031,_Datos!$I:$I,0)),"")</f>
        <v/>
      </c>
    </row>
    <row r="1039" spans="1:8" x14ac:dyDescent="0.2">
      <c r="A1039" s="67" t="str">
        <f>IFERROR(INDEX(_Datos!A:A,MATCH(1032,_Datos!$I:$I,0)),"")</f>
        <v/>
      </c>
      <c r="B1039" s="67" t="str">
        <f>IFERROR(INDEX(_Datos!B:B,MATCH(1032,_Datos!$I:$I,0)),"")</f>
        <v/>
      </c>
      <c r="C1039" s="67" t="str">
        <f>IFERROR(INDEX(_Datos!C:C,MATCH(1032,_Datos!$I:$I,0)),"")</f>
        <v/>
      </c>
      <c r="D1039" s="68" t="str">
        <f>IFERROR(INDEX(_Datos!D:D,MATCH(1032,_Datos!$I:$I,0)),"")</f>
        <v/>
      </c>
      <c r="E1039" s="69" t="str">
        <f>IFERROR(INDEX(_Datos!E:E,MATCH(1032,_Datos!$I:$I,0)),"")</f>
        <v/>
      </c>
      <c r="F1039" s="67" t="str">
        <f>IFERROR(INDEX(_Datos!F:F,MATCH(1032,_Datos!$I:$I,0)),"")</f>
        <v/>
      </c>
      <c r="G1039" s="67" t="str">
        <f>IFERROR(INDEX(_Datos!G:G,MATCH(1032,_Datos!$I:$I,0)),"")</f>
        <v/>
      </c>
      <c r="H1039" s="70" t="str">
        <f>IFERROR(INDEX(_Datos!H:H,MATCH(1032,_Datos!$I:$I,0)),"")</f>
        <v/>
      </c>
    </row>
    <row r="1040" spans="1:8" x14ac:dyDescent="0.2">
      <c r="A1040" s="63" t="str">
        <f>IFERROR(INDEX(_Datos!A:A,MATCH(1033,_Datos!$I:$I,0)),"")</f>
        <v/>
      </c>
      <c r="B1040" s="63" t="str">
        <f>IFERROR(INDEX(_Datos!B:B,MATCH(1033,_Datos!$I:$I,0)),"")</f>
        <v/>
      </c>
      <c r="C1040" s="63" t="str">
        <f>IFERROR(INDEX(_Datos!C:C,MATCH(1033,_Datos!$I:$I,0)),"")</f>
        <v/>
      </c>
      <c r="D1040" s="64" t="str">
        <f>IFERROR(INDEX(_Datos!D:D,MATCH(1033,_Datos!$I:$I,0)),"")</f>
        <v/>
      </c>
      <c r="E1040" s="65" t="str">
        <f>IFERROR(INDEX(_Datos!E:E,MATCH(1033,_Datos!$I:$I,0)),"")</f>
        <v/>
      </c>
      <c r="F1040" s="63" t="str">
        <f>IFERROR(INDEX(_Datos!F:F,MATCH(1033,_Datos!$I:$I,0)),"")</f>
        <v/>
      </c>
      <c r="G1040" s="63" t="str">
        <f>IFERROR(INDEX(_Datos!G:G,MATCH(1033,_Datos!$I:$I,0)),"")</f>
        <v/>
      </c>
      <c r="H1040" s="66" t="str">
        <f>IFERROR(INDEX(_Datos!H:H,MATCH(1033,_Datos!$I:$I,0)),"")</f>
        <v/>
      </c>
    </row>
    <row r="1041" spans="1:8" x14ac:dyDescent="0.2">
      <c r="A1041" s="67" t="str">
        <f>IFERROR(INDEX(_Datos!A:A,MATCH(1034,_Datos!$I:$I,0)),"")</f>
        <v/>
      </c>
      <c r="B1041" s="67" t="str">
        <f>IFERROR(INDEX(_Datos!B:B,MATCH(1034,_Datos!$I:$I,0)),"")</f>
        <v/>
      </c>
      <c r="C1041" s="67" t="str">
        <f>IFERROR(INDEX(_Datos!C:C,MATCH(1034,_Datos!$I:$I,0)),"")</f>
        <v/>
      </c>
      <c r="D1041" s="68" t="str">
        <f>IFERROR(INDEX(_Datos!D:D,MATCH(1034,_Datos!$I:$I,0)),"")</f>
        <v/>
      </c>
      <c r="E1041" s="69" t="str">
        <f>IFERROR(INDEX(_Datos!E:E,MATCH(1034,_Datos!$I:$I,0)),"")</f>
        <v/>
      </c>
      <c r="F1041" s="67" t="str">
        <f>IFERROR(INDEX(_Datos!F:F,MATCH(1034,_Datos!$I:$I,0)),"")</f>
        <v/>
      </c>
      <c r="G1041" s="67" t="str">
        <f>IFERROR(INDEX(_Datos!G:G,MATCH(1034,_Datos!$I:$I,0)),"")</f>
        <v/>
      </c>
      <c r="H1041" s="70" t="str">
        <f>IFERROR(INDEX(_Datos!H:H,MATCH(1034,_Datos!$I:$I,0)),"")</f>
        <v/>
      </c>
    </row>
    <row r="1042" spans="1:8" x14ac:dyDescent="0.2">
      <c r="A1042" s="63" t="str">
        <f>IFERROR(INDEX(_Datos!A:A,MATCH(1035,_Datos!$I:$I,0)),"")</f>
        <v/>
      </c>
      <c r="B1042" s="63" t="str">
        <f>IFERROR(INDEX(_Datos!B:B,MATCH(1035,_Datos!$I:$I,0)),"")</f>
        <v/>
      </c>
      <c r="C1042" s="63" t="str">
        <f>IFERROR(INDEX(_Datos!C:C,MATCH(1035,_Datos!$I:$I,0)),"")</f>
        <v/>
      </c>
      <c r="D1042" s="64" t="str">
        <f>IFERROR(INDEX(_Datos!D:D,MATCH(1035,_Datos!$I:$I,0)),"")</f>
        <v/>
      </c>
      <c r="E1042" s="65" t="str">
        <f>IFERROR(INDEX(_Datos!E:E,MATCH(1035,_Datos!$I:$I,0)),"")</f>
        <v/>
      </c>
      <c r="F1042" s="63" t="str">
        <f>IFERROR(INDEX(_Datos!F:F,MATCH(1035,_Datos!$I:$I,0)),"")</f>
        <v/>
      </c>
      <c r="G1042" s="63" t="str">
        <f>IFERROR(INDEX(_Datos!G:G,MATCH(1035,_Datos!$I:$I,0)),"")</f>
        <v/>
      </c>
      <c r="H1042" s="66" t="str">
        <f>IFERROR(INDEX(_Datos!H:H,MATCH(1035,_Datos!$I:$I,0)),"")</f>
        <v/>
      </c>
    </row>
    <row r="1043" spans="1:8" x14ac:dyDescent="0.2">
      <c r="A1043" s="67" t="str">
        <f>IFERROR(INDEX(_Datos!A:A,MATCH(1036,_Datos!$I:$I,0)),"")</f>
        <v/>
      </c>
      <c r="B1043" s="67" t="str">
        <f>IFERROR(INDEX(_Datos!B:B,MATCH(1036,_Datos!$I:$I,0)),"")</f>
        <v/>
      </c>
      <c r="C1043" s="67" t="str">
        <f>IFERROR(INDEX(_Datos!C:C,MATCH(1036,_Datos!$I:$I,0)),"")</f>
        <v/>
      </c>
      <c r="D1043" s="68" t="str">
        <f>IFERROR(INDEX(_Datos!D:D,MATCH(1036,_Datos!$I:$I,0)),"")</f>
        <v/>
      </c>
      <c r="E1043" s="69" t="str">
        <f>IFERROR(INDEX(_Datos!E:E,MATCH(1036,_Datos!$I:$I,0)),"")</f>
        <v/>
      </c>
      <c r="F1043" s="67" t="str">
        <f>IFERROR(INDEX(_Datos!F:F,MATCH(1036,_Datos!$I:$I,0)),"")</f>
        <v/>
      </c>
      <c r="G1043" s="67" t="str">
        <f>IFERROR(INDEX(_Datos!G:G,MATCH(1036,_Datos!$I:$I,0)),"")</f>
        <v/>
      </c>
      <c r="H1043" s="70" t="str">
        <f>IFERROR(INDEX(_Datos!H:H,MATCH(1036,_Datos!$I:$I,0)),"")</f>
        <v/>
      </c>
    </row>
    <row r="1044" spans="1:8" x14ac:dyDescent="0.2">
      <c r="A1044" s="63" t="str">
        <f>IFERROR(INDEX(_Datos!A:A,MATCH(1037,_Datos!$I:$I,0)),"")</f>
        <v/>
      </c>
      <c r="B1044" s="63" t="str">
        <f>IFERROR(INDEX(_Datos!B:B,MATCH(1037,_Datos!$I:$I,0)),"")</f>
        <v/>
      </c>
      <c r="C1044" s="63" t="str">
        <f>IFERROR(INDEX(_Datos!C:C,MATCH(1037,_Datos!$I:$I,0)),"")</f>
        <v/>
      </c>
      <c r="D1044" s="64" t="str">
        <f>IFERROR(INDEX(_Datos!D:D,MATCH(1037,_Datos!$I:$I,0)),"")</f>
        <v/>
      </c>
      <c r="E1044" s="65" t="str">
        <f>IFERROR(INDEX(_Datos!E:E,MATCH(1037,_Datos!$I:$I,0)),"")</f>
        <v/>
      </c>
      <c r="F1044" s="63" t="str">
        <f>IFERROR(INDEX(_Datos!F:F,MATCH(1037,_Datos!$I:$I,0)),"")</f>
        <v/>
      </c>
      <c r="G1044" s="63" t="str">
        <f>IFERROR(INDEX(_Datos!G:G,MATCH(1037,_Datos!$I:$I,0)),"")</f>
        <v/>
      </c>
      <c r="H1044" s="66" t="str">
        <f>IFERROR(INDEX(_Datos!H:H,MATCH(1037,_Datos!$I:$I,0)),"")</f>
        <v/>
      </c>
    </row>
    <row r="1045" spans="1:8" x14ac:dyDescent="0.2">
      <c r="A1045" s="67" t="str">
        <f>IFERROR(INDEX(_Datos!A:A,MATCH(1038,_Datos!$I:$I,0)),"")</f>
        <v/>
      </c>
      <c r="B1045" s="67" t="str">
        <f>IFERROR(INDEX(_Datos!B:B,MATCH(1038,_Datos!$I:$I,0)),"")</f>
        <v/>
      </c>
      <c r="C1045" s="67" t="str">
        <f>IFERROR(INDEX(_Datos!C:C,MATCH(1038,_Datos!$I:$I,0)),"")</f>
        <v/>
      </c>
      <c r="D1045" s="68" t="str">
        <f>IFERROR(INDEX(_Datos!D:D,MATCH(1038,_Datos!$I:$I,0)),"")</f>
        <v/>
      </c>
      <c r="E1045" s="69" t="str">
        <f>IFERROR(INDEX(_Datos!E:E,MATCH(1038,_Datos!$I:$I,0)),"")</f>
        <v/>
      </c>
      <c r="F1045" s="67" t="str">
        <f>IFERROR(INDEX(_Datos!F:F,MATCH(1038,_Datos!$I:$I,0)),"")</f>
        <v/>
      </c>
      <c r="G1045" s="67" t="str">
        <f>IFERROR(INDEX(_Datos!G:G,MATCH(1038,_Datos!$I:$I,0)),"")</f>
        <v/>
      </c>
      <c r="H1045" s="70" t="str">
        <f>IFERROR(INDEX(_Datos!H:H,MATCH(1038,_Datos!$I:$I,0)),"")</f>
        <v/>
      </c>
    </row>
    <row r="1046" spans="1:8" x14ac:dyDescent="0.2">
      <c r="A1046" s="63" t="str">
        <f>IFERROR(INDEX(_Datos!A:A,MATCH(1039,_Datos!$I:$I,0)),"")</f>
        <v/>
      </c>
      <c r="B1046" s="63" t="str">
        <f>IFERROR(INDEX(_Datos!B:B,MATCH(1039,_Datos!$I:$I,0)),"")</f>
        <v/>
      </c>
      <c r="C1046" s="63" t="str">
        <f>IFERROR(INDEX(_Datos!C:C,MATCH(1039,_Datos!$I:$I,0)),"")</f>
        <v/>
      </c>
      <c r="D1046" s="64" t="str">
        <f>IFERROR(INDEX(_Datos!D:D,MATCH(1039,_Datos!$I:$I,0)),"")</f>
        <v/>
      </c>
      <c r="E1046" s="65" t="str">
        <f>IFERROR(INDEX(_Datos!E:E,MATCH(1039,_Datos!$I:$I,0)),"")</f>
        <v/>
      </c>
      <c r="F1046" s="63" t="str">
        <f>IFERROR(INDEX(_Datos!F:F,MATCH(1039,_Datos!$I:$I,0)),"")</f>
        <v/>
      </c>
      <c r="G1046" s="63" t="str">
        <f>IFERROR(INDEX(_Datos!G:G,MATCH(1039,_Datos!$I:$I,0)),"")</f>
        <v/>
      </c>
      <c r="H1046" s="66" t="str">
        <f>IFERROR(INDEX(_Datos!H:H,MATCH(1039,_Datos!$I:$I,0)),"")</f>
        <v/>
      </c>
    </row>
    <row r="1047" spans="1:8" x14ac:dyDescent="0.2">
      <c r="A1047" s="67" t="str">
        <f>IFERROR(INDEX(_Datos!A:A,MATCH(1040,_Datos!$I:$I,0)),"")</f>
        <v/>
      </c>
      <c r="B1047" s="67" t="str">
        <f>IFERROR(INDEX(_Datos!B:B,MATCH(1040,_Datos!$I:$I,0)),"")</f>
        <v/>
      </c>
      <c r="C1047" s="67" t="str">
        <f>IFERROR(INDEX(_Datos!C:C,MATCH(1040,_Datos!$I:$I,0)),"")</f>
        <v/>
      </c>
      <c r="D1047" s="68" t="str">
        <f>IFERROR(INDEX(_Datos!D:D,MATCH(1040,_Datos!$I:$I,0)),"")</f>
        <v/>
      </c>
      <c r="E1047" s="69" t="str">
        <f>IFERROR(INDEX(_Datos!E:E,MATCH(1040,_Datos!$I:$I,0)),"")</f>
        <v/>
      </c>
      <c r="F1047" s="67" t="str">
        <f>IFERROR(INDEX(_Datos!F:F,MATCH(1040,_Datos!$I:$I,0)),"")</f>
        <v/>
      </c>
      <c r="G1047" s="67" t="str">
        <f>IFERROR(INDEX(_Datos!G:G,MATCH(1040,_Datos!$I:$I,0)),"")</f>
        <v/>
      </c>
      <c r="H1047" s="70" t="str">
        <f>IFERROR(INDEX(_Datos!H:H,MATCH(1040,_Datos!$I:$I,0)),"")</f>
        <v/>
      </c>
    </row>
    <row r="1048" spans="1:8" x14ac:dyDescent="0.2">
      <c r="A1048" s="63" t="str">
        <f>IFERROR(INDEX(_Datos!A:A,MATCH(1041,_Datos!$I:$I,0)),"")</f>
        <v/>
      </c>
      <c r="B1048" s="63" t="str">
        <f>IFERROR(INDEX(_Datos!B:B,MATCH(1041,_Datos!$I:$I,0)),"")</f>
        <v/>
      </c>
      <c r="C1048" s="63" t="str">
        <f>IFERROR(INDEX(_Datos!C:C,MATCH(1041,_Datos!$I:$I,0)),"")</f>
        <v/>
      </c>
      <c r="D1048" s="64" t="str">
        <f>IFERROR(INDEX(_Datos!D:D,MATCH(1041,_Datos!$I:$I,0)),"")</f>
        <v/>
      </c>
      <c r="E1048" s="65" t="str">
        <f>IFERROR(INDEX(_Datos!E:E,MATCH(1041,_Datos!$I:$I,0)),"")</f>
        <v/>
      </c>
      <c r="F1048" s="63" t="str">
        <f>IFERROR(INDEX(_Datos!F:F,MATCH(1041,_Datos!$I:$I,0)),"")</f>
        <v/>
      </c>
      <c r="G1048" s="63" t="str">
        <f>IFERROR(INDEX(_Datos!G:G,MATCH(1041,_Datos!$I:$I,0)),"")</f>
        <v/>
      </c>
      <c r="H1048" s="66" t="str">
        <f>IFERROR(INDEX(_Datos!H:H,MATCH(1041,_Datos!$I:$I,0)),"")</f>
        <v/>
      </c>
    </row>
    <row r="1049" spans="1:8" x14ac:dyDescent="0.2">
      <c r="A1049" s="67" t="str">
        <f>IFERROR(INDEX(_Datos!A:A,MATCH(1042,_Datos!$I:$I,0)),"")</f>
        <v/>
      </c>
      <c r="B1049" s="67" t="str">
        <f>IFERROR(INDEX(_Datos!B:B,MATCH(1042,_Datos!$I:$I,0)),"")</f>
        <v/>
      </c>
      <c r="C1049" s="67" t="str">
        <f>IFERROR(INDEX(_Datos!C:C,MATCH(1042,_Datos!$I:$I,0)),"")</f>
        <v/>
      </c>
      <c r="D1049" s="68" t="str">
        <f>IFERROR(INDEX(_Datos!D:D,MATCH(1042,_Datos!$I:$I,0)),"")</f>
        <v/>
      </c>
      <c r="E1049" s="69" t="str">
        <f>IFERROR(INDEX(_Datos!E:E,MATCH(1042,_Datos!$I:$I,0)),"")</f>
        <v/>
      </c>
      <c r="F1049" s="67" t="str">
        <f>IFERROR(INDEX(_Datos!F:F,MATCH(1042,_Datos!$I:$I,0)),"")</f>
        <v/>
      </c>
      <c r="G1049" s="67" t="str">
        <f>IFERROR(INDEX(_Datos!G:G,MATCH(1042,_Datos!$I:$I,0)),"")</f>
        <v/>
      </c>
      <c r="H1049" s="70" t="str">
        <f>IFERROR(INDEX(_Datos!H:H,MATCH(1042,_Datos!$I:$I,0)),"")</f>
        <v/>
      </c>
    </row>
    <row r="1050" spans="1:8" x14ac:dyDescent="0.2">
      <c r="A1050" s="63" t="str">
        <f>IFERROR(INDEX(_Datos!A:A,MATCH(1043,_Datos!$I:$I,0)),"")</f>
        <v/>
      </c>
      <c r="B1050" s="63" t="str">
        <f>IFERROR(INDEX(_Datos!B:B,MATCH(1043,_Datos!$I:$I,0)),"")</f>
        <v/>
      </c>
      <c r="C1050" s="63" t="str">
        <f>IFERROR(INDEX(_Datos!C:C,MATCH(1043,_Datos!$I:$I,0)),"")</f>
        <v/>
      </c>
      <c r="D1050" s="64" t="str">
        <f>IFERROR(INDEX(_Datos!D:D,MATCH(1043,_Datos!$I:$I,0)),"")</f>
        <v/>
      </c>
      <c r="E1050" s="65" t="str">
        <f>IFERROR(INDEX(_Datos!E:E,MATCH(1043,_Datos!$I:$I,0)),"")</f>
        <v/>
      </c>
      <c r="F1050" s="63" t="str">
        <f>IFERROR(INDEX(_Datos!F:F,MATCH(1043,_Datos!$I:$I,0)),"")</f>
        <v/>
      </c>
      <c r="G1050" s="63" t="str">
        <f>IFERROR(INDEX(_Datos!G:G,MATCH(1043,_Datos!$I:$I,0)),"")</f>
        <v/>
      </c>
      <c r="H1050" s="66" t="str">
        <f>IFERROR(INDEX(_Datos!H:H,MATCH(1043,_Datos!$I:$I,0)),"")</f>
        <v/>
      </c>
    </row>
    <row r="1051" spans="1:8" x14ac:dyDescent="0.2">
      <c r="A1051" s="67" t="str">
        <f>IFERROR(INDEX(_Datos!A:A,MATCH(1044,_Datos!$I:$I,0)),"")</f>
        <v/>
      </c>
      <c r="B1051" s="67" t="str">
        <f>IFERROR(INDEX(_Datos!B:B,MATCH(1044,_Datos!$I:$I,0)),"")</f>
        <v/>
      </c>
      <c r="C1051" s="67" t="str">
        <f>IFERROR(INDEX(_Datos!C:C,MATCH(1044,_Datos!$I:$I,0)),"")</f>
        <v/>
      </c>
      <c r="D1051" s="68" t="str">
        <f>IFERROR(INDEX(_Datos!D:D,MATCH(1044,_Datos!$I:$I,0)),"")</f>
        <v/>
      </c>
      <c r="E1051" s="69" t="str">
        <f>IFERROR(INDEX(_Datos!E:E,MATCH(1044,_Datos!$I:$I,0)),"")</f>
        <v/>
      </c>
      <c r="F1051" s="67" t="str">
        <f>IFERROR(INDEX(_Datos!F:F,MATCH(1044,_Datos!$I:$I,0)),"")</f>
        <v/>
      </c>
      <c r="G1051" s="67" t="str">
        <f>IFERROR(INDEX(_Datos!G:G,MATCH(1044,_Datos!$I:$I,0)),"")</f>
        <v/>
      </c>
      <c r="H1051" s="70" t="str">
        <f>IFERROR(INDEX(_Datos!H:H,MATCH(1044,_Datos!$I:$I,0)),"")</f>
        <v/>
      </c>
    </row>
    <row r="1052" spans="1:8" x14ac:dyDescent="0.2">
      <c r="A1052" s="63" t="str">
        <f>IFERROR(INDEX(_Datos!A:A,MATCH(1045,_Datos!$I:$I,0)),"")</f>
        <v/>
      </c>
      <c r="B1052" s="63" t="str">
        <f>IFERROR(INDEX(_Datos!B:B,MATCH(1045,_Datos!$I:$I,0)),"")</f>
        <v/>
      </c>
      <c r="C1052" s="63" t="str">
        <f>IFERROR(INDEX(_Datos!C:C,MATCH(1045,_Datos!$I:$I,0)),"")</f>
        <v/>
      </c>
      <c r="D1052" s="64" t="str">
        <f>IFERROR(INDEX(_Datos!D:D,MATCH(1045,_Datos!$I:$I,0)),"")</f>
        <v/>
      </c>
      <c r="E1052" s="65" t="str">
        <f>IFERROR(INDEX(_Datos!E:E,MATCH(1045,_Datos!$I:$I,0)),"")</f>
        <v/>
      </c>
      <c r="F1052" s="63" t="str">
        <f>IFERROR(INDEX(_Datos!F:F,MATCH(1045,_Datos!$I:$I,0)),"")</f>
        <v/>
      </c>
      <c r="G1052" s="63" t="str">
        <f>IFERROR(INDEX(_Datos!G:G,MATCH(1045,_Datos!$I:$I,0)),"")</f>
        <v/>
      </c>
      <c r="H1052" s="66" t="str">
        <f>IFERROR(INDEX(_Datos!H:H,MATCH(1045,_Datos!$I:$I,0)),"")</f>
        <v/>
      </c>
    </row>
    <row r="1053" spans="1:8" x14ac:dyDescent="0.2">
      <c r="A1053" s="67" t="str">
        <f>IFERROR(INDEX(_Datos!A:A,MATCH(1046,_Datos!$I:$I,0)),"")</f>
        <v/>
      </c>
      <c r="B1053" s="67" t="str">
        <f>IFERROR(INDEX(_Datos!B:B,MATCH(1046,_Datos!$I:$I,0)),"")</f>
        <v/>
      </c>
      <c r="C1053" s="67" t="str">
        <f>IFERROR(INDEX(_Datos!C:C,MATCH(1046,_Datos!$I:$I,0)),"")</f>
        <v/>
      </c>
      <c r="D1053" s="68" t="str">
        <f>IFERROR(INDEX(_Datos!D:D,MATCH(1046,_Datos!$I:$I,0)),"")</f>
        <v/>
      </c>
      <c r="E1053" s="69" t="str">
        <f>IFERROR(INDEX(_Datos!E:E,MATCH(1046,_Datos!$I:$I,0)),"")</f>
        <v/>
      </c>
      <c r="F1053" s="67" t="str">
        <f>IFERROR(INDEX(_Datos!F:F,MATCH(1046,_Datos!$I:$I,0)),"")</f>
        <v/>
      </c>
      <c r="G1053" s="67" t="str">
        <f>IFERROR(INDEX(_Datos!G:G,MATCH(1046,_Datos!$I:$I,0)),"")</f>
        <v/>
      </c>
      <c r="H1053" s="70" t="str">
        <f>IFERROR(INDEX(_Datos!H:H,MATCH(1046,_Datos!$I:$I,0)),"")</f>
        <v/>
      </c>
    </row>
    <row r="1054" spans="1:8" x14ac:dyDescent="0.2">
      <c r="A1054" s="63" t="str">
        <f>IFERROR(INDEX(_Datos!A:A,MATCH(1047,_Datos!$I:$I,0)),"")</f>
        <v/>
      </c>
      <c r="B1054" s="63" t="str">
        <f>IFERROR(INDEX(_Datos!B:B,MATCH(1047,_Datos!$I:$I,0)),"")</f>
        <v/>
      </c>
      <c r="C1054" s="63" t="str">
        <f>IFERROR(INDEX(_Datos!C:C,MATCH(1047,_Datos!$I:$I,0)),"")</f>
        <v/>
      </c>
      <c r="D1054" s="64" t="str">
        <f>IFERROR(INDEX(_Datos!D:D,MATCH(1047,_Datos!$I:$I,0)),"")</f>
        <v/>
      </c>
      <c r="E1054" s="65" t="str">
        <f>IFERROR(INDEX(_Datos!E:E,MATCH(1047,_Datos!$I:$I,0)),"")</f>
        <v/>
      </c>
      <c r="F1054" s="63" t="str">
        <f>IFERROR(INDEX(_Datos!F:F,MATCH(1047,_Datos!$I:$I,0)),"")</f>
        <v/>
      </c>
      <c r="G1054" s="63" t="str">
        <f>IFERROR(INDEX(_Datos!G:G,MATCH(1047,_Datos!$I:$I,0)),"")</f>
        <v/>
      </c>
      <c r="H1054" s="66" t="str">
        <f>IFERROR(INDEX(_Datos!H:H,MATCH(1047,_Datos!$I:$I,0)),"")</f>
        <v/>
      </c>
    </row>
    <row r="1055" spans="1:8" x14ac:dyDescent="0.2">
      <c r="A1055" s="67" t="str">
        <f>IFERROR(INDEX(_Datos!A:A,MATCH(1048,_Datos!$I:$I,0)),"")</f>
        <v/>
      </c>
      <c r="B1055" s="67" t="str">
        <f>IFERROR(INDEX(_Datos!B:B,MATCH(1048,_Datos!$I:$I,0)),"")</f>
        <v/>
      </c>
      <c r="C1055" s="67" t="str">
        <f>IFERROR(INDEX(_Datos!C:C,MATCH(1048,_Datos!$I:$I,0)),"")</f>
        <v/>
      </c>
      <c r="D1055" s="68" t="str">
        <f>IFERROR(INDEX(_Datos!D:D,MATCH(1048,_Datos!$I:$I,0)),"")</f>
        <v/>
      </c>
      <c r="E1055" s="69" t="str">
        <f>IFERROR(INDEX(_Datos!E:E,MATCH(1048,_Datos!$I:$I,0)),"")</f>
        <v/>
      </c>
      <c r="F1055" s="67" t="str">
        <f>IFERROR(INDEX(_Datos!F:F,MATCH(1048,_Datos!$I:$I,0)),"")</f>
        <v/>
      </c>
      <c r="G1055" s="67" t="str">
        <f>IFERROR(INDEX(_Datos!G:G,MATCH(1048,_Datos!$I:$I,0)),"")</f>
        <v/>
      </c>
      <c r="H1055" s="70" t="str">
        <f>IFERROR(INDEX(_Datos!H:H,MATCH(1048,_Datos!$I:$I,0)),"")</f>
        <v/>
      </c>
    </row>
    <row r="1056" spans="1:8" x14ac:dyDescent="0.2">
      <c r="A1056" s="63" t="str">
        <f>IFERROR(INDEX(_Datos!A:A,MATCH(1049,_Datos!$I:$I,0)),"")</f>
        <v/>
      </c>
      <c r="B1056" s="63" t="str">
        <f>IFERROR(INDEX(_Datos!B:B,MATCH(1049,_Datos!$I:$I,0)),"")</f>
        <v/>
      </c>
      <c r="C1056" s="63" t="str">
        <f>IFERROR(INDEX(_Datos!C:C,MATCH(1049,_Datos!$I:$I,0)),"")</f>
        <v/>
      </c>
      <c r="D1056" s="64" t="str">
        <f>IFERROR(INDEX(_Datos!D:D,MATCH(1049,_Datos!$I:$I,0)),"")</f>
        <v/>
      </c>
      <c r="E1056" s="65" t="str">
        <f>IFERROR(INDEX(_Datos!E:E,MATCH(1049,_Datos!$I:$I,0)),"")</f>
        <v/>
      </c>
      <c r="F1056" s="63" t="str">
        <f>IFERROR(INDEX(_Datos!F:F,MATCH(1049,_Datos!$I:$I,0)),"")</f>
        <v/>
      </c>
      <c r="G1056" s="63" t="str">
        <f>IFERROR(INDEX(_Datos!G:G,MATCH(1049,_Datos!$I:$I,0)),"")</f>
        <v/>
      </c>
      <c r="H1056" s="66" t="str">
        <f>IFERROR(INDEX(_Datos!H:H,MATCH(1049,_Datos!$I:$I,0)),"")</f>
        <v/>
      </c>
    </row>
    <row r="1057" spans="1:8" x14ac:dyDescent="0.2">
      <c r="A1057" s="67" t="str">
        <f>IFERROR(INDEX(_Datos!A:A,MATCH(1050,_Datos!$I:$I,0)),"")</f>
        <v/>
      </c>
      <c r="B1057" s="67" t="str">
        <f>IFERROR(INDEX(_Datos!B:B,MATCH(1050,_Datos!$I:$I,0)),"")</f>
        <v/>
      </c>
      <c r="C1057" s="67" t="str">
        <f>IFERROR(INDEX(_Datos!C:C,MATCH(1050,_Datos!$I:$I,0)),"")</f>
        <v/>
      </c>
      <c r="D1057" s="68" t="str">
        <f>IFERROR(INDEX(_Datos!D:D,MATCH(1050,_Datos!$I:$I,0)),"")</f>
        <v/>
      </c>
      <c r="E1057" s="69" t="str">
        <f>IFERROR(INDEX(_Datos!E:E,MATCH(1050,_Datos!$I:$I,0)),"")</f>
        <v/>
      </c>
      <c r="F1057" s="67" t="str">
        <f>IFERROR(INDEX(_Datos!F:F,MATCH(1050,_Datos!$I:$I,0)),"")</f>
        <v/>
      </c>
      <c r="G1057" s="67" t="str">
        <f>IFERROR(INDEX(_Datos!G:G,MATCH(1050,_Datos!$I:$I,0)),"")</f>
        <v/>
      </c>
      <c r="H1057" s="70" t="str">
        <f>IFERROR(INDEX(_Datos!H:H,MATCH(1050,_Datos!$I:$I,0)),"")</f>
        <v/>
      </c>
    </row>
    <row r="1058" spans="1:8" x14ac:dyDescent="0.2">
      <c r="A1058" s="63" t="str">
        <f>IFERROR(INDEX(_Datos!A:A,MATCH(1051,_Datos!$I:$I,0)),"")</f>
        <v/>
      </c>
      <c r="B1058" s="63" t="str">
        <f>IFERROR(INDEX(_Datos!B:B,MATCH(1051,_Datos!$I:$I,0)),"")</f>
        <v/>
      </c>
      <c r="C1058" s="63" t="str">
        <f>IFERROR(INDEX(_Datos!C:C,MATCH(1051,_Datos!$I:$I,0)),"")</f>
        <v/>
      </c>
      <c r="D1058" s="64" t="str">
        <f>IFERROR(INDEX(_Datos!D:D,MATCH(1051,_Datos!$I:$I,0)),"")</f>
        <v/>
      </c>
      <c r="E1058" s="65" t="str">
        <f>IFERROR(INDEX(_Datos!E:E,MATCH(1051,_Datos!$I:$I,0)),"")</f>
        <v/>
      </c>
      <c r="F1058" s="63" t="str">
        <f>IFERROR(INDEX(_Datos!F:F,MATCH(1051,_Datos!$I:$I,0)),"")</f>
        <v/>
      </c>
      <c r="G1058" s="63" t="str">
        <f>IFERROR(INDEX(_Datos!G:G,MATCH(1051,_Datos!$I:$I,0)),"")</f>
        <v/>
      </c>
      <c r="H1058" s="66" t="str">
        <f>IFERROR(INDEX(_Datos!H:H,MATCH(1051,_Datos!$I:$I,0)),"")</f>
        <v/>
      </c>
    </row>
    <row r="1059" spans="1:8" x14ac:dyDescent="0.2">
      <c r="A1059" s="67" t="str">
        <f>IFERROR(INDEX(_Datos!A:A,MATCH(1052,_Datos!$I:$I,0)),"")</f>
        <v/>
      </c>
      <c r="B1059" s="67" t="str">
        <f>IFERROR(INDEX(_Datos!B:B,MATCH(1052,_Datos!$I:$I,0)),"")</f>
        <v/>
      </c>
      <c r="C1059" s="67" t="str">
        <f>IFERROR(INDEX(_Datos!C:C,MATCH(1052,_Datos!$I:$I,0)),"")</f>
        <v/>
      </c>
      <c r="D1059" s="68" t="str">
        <f>IFERROR(INDEX(_Datos!D:D,MATCH(1052,_Datos!$I:$I,0)),"")</f>
        <v/>
      </c>
      <c r="E1059" s="69" t="str">
        <f>IFERROR(INDEX(_Datos!E:E,MATCH(1052,_Datos!$I:$I,0)),"")</f>
        <v/>
      </c>
      <c r="F1059" s="67" t="str">
        <f>IFERROR(INDEX(_Datos!F:F,MATCH(1052,_Datos!$I:$I,0)),"")</f>
        <v/>
      </c>
      <c r="G1059" s="67" t="str">
        <f>IFERROR(INDEX(_Datos!G:G,MATCH(1052,_Datos!$I:$I,0)),"")</f>
        <v/>
      </c>
      <c r="H1059" s="70" t="str">
        <f>IFERROR(INDEX(_Datos!H:H,MATCH(1052,_Datos!$I:$I,0)),"")</f>
        <v/>
      </c>
    </row>
    <row r="1060" spans="1:8" x14ac:dyDescent="0.2">
      <c r="A1060" s="63" t="str">
        <f>IFERROR(INDEX(_Datos!A:A,MATCH(1053,_Datos!$I:$I,0)),"")</f>
        <v/>
      </c>
      <c r="B1060" s="63" t="str">
        <f>IFERROR(INDEX(_Datos!B:B,MATCH(1053,_Datos!$I:$I,0)),"")</f>
        <v/>
      </c>
      <c r="C1060" s="63" t="str">
        <f>IFERROR(INDEX(_Datos!C:C,MATCH(1053,_Datos!$I:$I,0)),"")</f>
        <v/>
      </c>
      <c r="D1060" s="64" t="str">
        <f>IFERROR(INDEX(_Datos!D:D,MATCH(1053,_Datos!$I:$I,0)),"")</f>
        <v/>
      </c>
      <c r="E1060" s="65" t="str">
        <f>IFERROR(INDEX(_Datos!E:E,MATCH(1053,_Datos!$I:$I,0)),"")</f>
        <v/>
      </c>
      <c r="F1060" s="63" t="str">
        <f>IFERROR(INDEX(_Datos!F:F,MATCH(1053,_Datos!$I:$I,0)),"")</f>
        <v/>
      </c>
      <c r="G1060" s="63" t="str">
        <f>IFERROR(INDEX(_Datos!G:G,MATCH(1053,_Datos!$I:$I,0)),"")</f>
        <v/>
      </c>
      <c r="H1060" s="66" t="str">
        <f>IFERROR(INDEX(_Datos!H:H,MATCH(1053,_Datos!$I:$I,0)),"")</f>
        <v/>
      </c>
    </row>
    <row r="1061" spans="1:8" x14ac:dyDescent="0.2">
      <c r="A1061" s="67" t="str">
        <f>IFERROR(INDEX(_Datos!A:A,MATCH(1054,_Datos!$I:$I,0)),"")</f>
        <v/>
      </c>
      <c r="B1061" s="67" t="str">
        <f>IFERROR(INDEX(_Datos!B:B,MATCH(1054,_Datos!$I:$I,0)),"")</f>
        <v/>
      </c>
      <c r="C1061" s="67" t="str">
        <f>IFERROR(INDEX(_Datos!C:C,MATCH(1054,_Datos!$I:$I,0)),"")</f>
        <v/>
      </c>
      <c r="D1061" s="68" t="str">
        <f>IFERROR(INDEX(_Datos!D:D,MATCH(1054,_Datos!$I:$I,0)),"")</f>
        <v/>
      </c>
      <c r="E1061" s="69" t="str">
        <f>IFERROR(INDEX(_Datos!E:E,MATCH(1054,_Datos!$I:$I,0)),"")</f>
        <v/>
      </c>
      <c r="F1061" s="67" t="str">
        <f>IFERROR(INDEX(_Datos!F:F,MATCH(1054,_Datos!$I:$I,0)),"")</f>
        <v/>
      </c>
      <c r="G1061" s="67" t="str">
        <f>IFERROR(INDEX(_Datos!G:G,MATCH(1054,_Datos!$I:$I,0)),"")</f>
        <v/>
      </c>
      <c r="H1061" s="70" t="str">
        <f>IFERROR(INDEX(_Datos!H:H,MATCH(1054,_Datos!$I:$I,0)),"")</f>
        <v/>
      </c>
    </row>
    <row r="1062" spans="1:8" x14ac:dyDescent="0.2">
      <c r="A1062" s="63" t="str">
        <f>IFERROR(INDEX(_Datos!A:A,MATCH(1055,_Datos!$I:$I,0)),"")</f>
        <v/>
      </c>
      <c r="B1062" s="63" t="str">
        <f>IFERROR(INDEX(_Datos!B:B,MATCH(1055,_Datos!$I:$I,0)),"")</f>
        <v/>
      </c>
      <c r="C1062" s="63" t="str">
        <f>IFERROR(INDEX(_Datos!C:C,MATCH(1055,_Datos!$I:$I,0)),"")</f>
        <v/>
      </c>
      <c r="D1062" s="64" t="str">
        <f>IFERROR(INDEX(_Datos!D:D,MATCH(1055,_Datos!$I:$I,0)),"")</f>
        <v/>
      </c>
      <c r="E1062" s="65" t="str">
        <f>IFERROR(INDEX(_Datos!E:E,MATCH(1055,_Datos!$I:$I,0)),"")</f>
        <v/>
      </c>
      <c r="F1062" s="63" t="str">
        <f>IFERROR(INDEX(_Datos!F:F,MATCH(1055,_Datos!$I:$I,0)),"")</f>
        <v/>
      </c>
      <c r="G1062" s="63" t="str">
        <f>IFERROR(INDEX(_Datos!G:G,MATCH(1055,_Datos!$I:$I,0)),"")</f>
        <v/>
      </c>
      <c r="H1062" s="66" t="str">
        <f>IFERROR(INDEX(_Datos!H:H,MATCH(1055,_Datos!$I:$I,0)),"")</f>
        <v/>
      </c>
    </row>
    <row r="1063" spans="1:8" x14ac:dyDescent="0.2">
      <c r="A1063" s="67" t="str">
        <f>IFERROR(INDEX(_Datos!A:A,MATCH(1056,_Datos!$I:$I,0)),"")</f>
        <v/>
      </c>
      <c r="B1063" s="67" t="str">
        <f>IFERROR(INDEX(_Datos!B:B,MATCH(1056,_Datos!$I:$I,0)),"")</f>
        <v/>
      </c>
      <c r="C1063" s="67" t="str">
        <f>IFERROR(INDEX(_Datos!C:C,MATCH(1056,_Datos!$I:$I,0)),"")</f>
        <v/>
      </c>
      <c r="D1063" s="68" t="str">
        <f>IFERROR(INDEX(_Datos!D:D,MATCH(1056,_Datos!$I:$I,0)),"")</f>
        <v/>
      </c>
      <c r="E1063" s="69" t="str">
        <f>IFERROR(INDEX(_Datos!E:E,MATCH(1056,_Datos!$I:$I,0)),"")</f>
        <v/>
      </c>
      <c r="F1063" s="67" t="str">
        <f>IFERROR(INDEX(_Datos!F:F,MATCH(1056,_Datos!$I:$I,0)),"")</f>
        <v/>
      </c>
      <c r="G1063" s="67" t="str">
        <f>IFERROR(INDEX(_Datos!G:G,MATCH(1056,_Datos!$I:$I,0)),"")</f>
        <v/>
      </c>
      <c r="H1063" s="70" t="str">
        <f>IFERROR(INDEX(_Datos!H:H,MATCH(1056,_Datos!$I:$I,0)),"")</f>
        <v/>
      </c>
    </row>
    <row r="1064" spans="1:8" x14ac:dyDescent="0.2">
      <c r="A1064" s="63" t="str">
        <f>IFERROR(INDEX(_Datos!A:A,MATCH(1057,_Datos!$I:$I,0)),"")</f>
        <v/>
      </c>
      <c r="B1064" s="63" t="str">
        <f>IFERROR(INDEX(_Datos!B:B,MATCH(1057,_Datos!$I:$I,0)),"")</f>
        <v/>
      </c>
      <c r="C1064" s="63" t="str">
        <f>IFERROR(INDEX(_Datos!C:C,MATCH(1057,_Datos!$I:$I,0)),"")</f>
        <v/>
      </c>
      <c r="D1064" s="64" t="str">
        <f>IFERROR(INDEX(_Datos!D:D,MATCH(1057,_Datos!$I:$I,0)),"")</f>
        <v/>
      </c>
      <c r="E1064" s="65" t="str">
        <f>IFERROR(INDEX(_Datos!E:E,MATCH(1057,_Datos!$I:$I,0)),"")</f>
        <v/>
      </c>
      <c r="F1064" s="63" t="str">
        <f>IFERROR(INDEX(_Datos!F:F,MATCH(1057,_Datos!$I:$I,0)),"")</f>
        <v/>
      </c>
      <c r="G1064" s="63" t="str">
        <f>IFERROR(INDEX(_Datos!G:G,MATCH(1057,_Datos!$I:$I,0)),"")</f>
        <v/>
      </c>
      <c r="H1064" s="66" t="str">
        <f>IFERROR(INDEX(_Datos!H:H,MATCH(1057,_Datos!$I:$I,0)),"")</f>
        <v/>
      </c>
    </row>
    <row r="1065" spans="1:8" x14ac:dyDescent="0.2">
      <c r="A1065" s="67" t="str">
        <f>IFERROR(INDEX(_Datos!A:A,MATCH(1058,_Datos!$I:$I,0)),"")</f>
        <v/>
      </c>
      <c r="B1065" s="67" t="str">
        <f>IFERROR(INDEX(_Datos!B:B,MATCH(1058,_Datos!$I:$I,0)),"")</f>
        <v/>
      </c>
      <c r="C1065" s="67" t="str">
        <f>IFERROR(INDEX(_Datos!C:C,MATCH(1058,_Datos!$I:$I,0)),"")</f>
        <v/>
      </c>
      <c r="D1065" s="68" t="str">
        <f>IFERROR(INDEX(_Datos!D:D,MATCH(1058,_Datos!$I:$I,0)),"")</f>
        <v/>
      </c>
      <c r="E1065" s="69" t="str">
        <f>IFERROR(INDEX(_Datos!E:E,MATCH(1058,_Datos!$I:$I,0)),"")</f>
        <v/>
      </c>
      <c r="F1065" s="67" t="str">
        <f>IFERROR(INDEX(_Datos!F:F,MATCH(1058,_Datos!$I:$I,0)),"")</f>
        <v/>
      </c>
      <c r="G1065" s="67" t="str">
        <f>IFERROR(INDEX(_Datos!G:G,MATCH(1058,_Datos!$I:$I,0)),"")</f>
        <v/>
      </c>
      <c r="H1065" s="70" t="str">
        <f>IFERROR(INDEX(_Datos!H:H,MATCH(1058,_Datos!$I:$I,0)),"")</f>
        <v/>
      </c>
    </row>
    <row r="1066" spans="1:8" x14ac:dyDescent="0.2">
      <c r="A1066" s="63" t="str">
        <f>IFERROR(INDEX(_Datos!A:A,MATCH(1059,_Datos!$I:$I,0)),"")</f>
        <v/>
      </c>
      <c r="B1066" s="63" t="str">
        <f>IFERROR(INDEX(_Datos!B:B,MATCH(1059,_Datos!$I:$I,0)),"")</f>
        <v/>
      </c>
      <c r="C1066" s="63" t="str">
        <f>IFERROR(INDEX(_Datos!C:C,MATCH(1059,_Datos!$I:$I,0)),"")</f>
        <v/>
      </c>
      <c r="D1066" s="64" t="str">
        <f>IFERROR(INDEX(_Datos!D:D,MATCH(1059,_Datos!$I:$I,0)),"")</f>
        <v/>
      </c>
      <c r="E1066" s="65" t="str">
        <f>IFERROR(INDEX(_Datos!E:E,MATCH(1059,_Datos!$I:$I,0)),"")</f>
        <v/>
      </c>
      <c r="F1066" s="63" t="str">
        <f>IFERROR(INDEX(_Datos!F:F,MATCH(1059,_Datos!$I:$I,0)),"")</f>
        <v/>
      </c>
      <c r="G1066" s="63" t="str">
        <f>IFERROR(INDEX(_Datos!G:G,MATCH(1059,_Datos!$I:$I,0)),"")</f>
        <v/>
      </c>
      <c r="H1066" s="66" t="str">
        <f>IFERROR(INDEX(_Datos!H:H,MATCH(1059,_Datos!$I:$I,0)),"")</f>
        <v/>
      </c>
    </row>
    <row r="1067" spans="1:8" x14ac:dyDescent="0.2">
      <c r="A1067" s="67" t="str">
        <f>IFERROR(INDEX(_Datos!A:A,MATCH(1060,_Datos!$I:$I,0)),"")</f>
        <v/>
      </c>
      <c r="B1067" s="67" t="str">
        <f>IFERROR(INDEX(_Datos!B:B,MATCH(1060,_Datos!$I:$I,0)),"")</f>
        <v/>
      </c>
      <c r="C1067" s="67" t="str">
        <f>IFERROR(INDEX(_Datos!C:C,MATCH(1060,_Datos!$I:$I,0)),"")</f>
        <v/>
      </c>
      <c r="D1067" s="68" t="str">
        <f>IFERROR(INDEX(_Datos!D:D,MATCH(1060,_Datos!$I:$I,0)),"")</f>
        <v/>
      </c>
      <c r="E1067" s="69" t="str">
        <f>IFERROR(INDEX(_Datos!E:E,MATCH(1060,_Datos!$I:$I,0)),"")</f>
        <v/>
      </c>
      <c r="F1067" s="67" t="str">
        <f>IFERROR(INDEX(_Datos!F:F,MATCH(1060,_Datos!$I:$I,0)),"")</f>
        <v/>
      </c>
      <c r="G1067" s="67" t="str">
        <f>IFERROR(INDEX(_Datos!G:G,MATCH(1060,_Datos!$I:$I,0)),"")</f>
        <v/>
      </c>
      <c r="H1067" s="70" t="str">
        <f>IFERROR(INDEX(_Datos!H:H,MATCH(1060,_Datos!$I:$I,0)),"")</f>
        <v/>
      </c>
    </row>
    <row r="1068" spans="1:8" x14ac:dyDescent="0.2">
      <c r="A1068" s="63" t="str">
        <f>IFERROR(INDEX(_Datos!A:A,MATCH(1061,_Datos!$I:$I,0)),"")</f>
        <v/>
      </c>
      <c r="B1068" s="63" t="str">
        <f>IFERROR(INDEX(_Datos!B:B,MATCH(1061,_Datos!$I:$I,0)),"")</f>
        <v/>
      </c>
      <c r="C1068" s="63" t="str">
        <f>IFERROR(INDEX(_Datos!C:C,MATCH(1061,_Datos!$I:$I,0)),"")</f>
        <v/>
      </c>
      <c r="D1068" s="64" t="str">
        <f>IFERROR(INDEX(_Datos!D:D,MATCH(1061,_Datos!$I:$I,0)),"")</f>
        <v/>
      </c>
      <c r="E1068" s="65" t="str">
        <f>IFERROR(INDEX(_Datos!E:E,MATCH(1061,_Datos!$I:$I,0)),"")</f>
        <v/>
      </c>
      <c r="F1068" s="63" t="str">
        <f>IFERROR(INDEX(_Datos!F:F,MATCH(1061,_Datos!$I:$I,0)),"")</f>
        <v/>
      </c>
      <c r="G1068" s="63" t="str">
        <f>IFERROR(INDEX(_Datos!G:G,MATCH(1061,_Datos!$I:$I,0)),"")</f>
        <v/>
      </c>
      <c r="H1068" s="66" t="str">
        <f>IFERROR(INDEX(_Datos!H:H,MATCH(1061,_Datos!$I:$I,0)),"")</f>
        <v/>
      </c>
    </row>
    <row r="1069" spans="1:8" x14ac:dyDescent="0.2">
      <c r="A1069" s="67" t="str">
        <f>IFERROR(INDEX(_Datos!A:A,MATCH(1062,_Datos!$I:$I,0)),"")</f>
        <v/>
      </c>
      <c r="B1069" s="67" t="str">
        <f>IFERROR(INDEX(_Datos!B:B,MATCH(1062,_Datos!$I:$I,0)),"")</f>
        <v/>
      </c>
      <c r="C1069" s="67" t="str">
        <f>IFERROR(INDEX(_Datos!C:C,MATCH(1062,_Datos!$I:$I,0)),"")</f>
        <v/>
      </c>
      <c r="D1069" s="68" t="str">
        <f>IFERROR(INDEX(_Datos!D:D,MATCH(1062,_Datos!$I:$I,0)),"")</f>
        <v/>
      </c>
      <c r="E1069" s="69" t="str">
        <f>IFERROR(INDEX(_Datos!E:E,MATCH(1062,_Datos!$I:$I,0)),"")</f>
        <v/>
      </c>
      <c r="F1069" s="67" t="str">
        <f>IFERROR(INDEX(_Datos!F:F,MATCH(1062,_Datos!$I:$I,0)),"")</f>
        <v/>
      </c>
      <c r="G1069" s="67" t="str">
        <f>IFERROR(INDEX(_Datos!G:G,MATCH(1062,_Datos!$I:$I,0)),"")</f>
        <v/>
      </c>
      <c r="H1069" s="70" t="str">
        <f>IFERROR(INDEX(_Datos!H:H,MATCH(1062,_Datos!$I:$I,0)),"")</f>
        <v/>
      </c>
    </row>
    <row r="1070" spans="1:8" x14ac:dyDescent="0.2">
      <c r="A1070" s="63" t="str">
        <f>IFERROR(INDEX(_Datos!A:A,MATCH(1063,_Datos!$I:$I,0)),"")</f>
        <v/>
      </c>
      <c r="B1070" s="63" t="str">
        <f>IFERROR(INDEX(_Datos!B:B,MATCH(1063,_Datos!$I:$I,0)),"")</f>
        <v/>
      </c>
      <c r="C1070" s="63" t="str">
        <f>IFERROR(INDEX(_Datos!C:C,MATCH(1063,_Datos!$I:$I,0)),"")</f>
        <v/>
      </c>
      <c r="D1070" s="64" t="str">
        <f>IFERROR(INDEX(_Datos!D:D,MATCH(1063,_Datos!$I:$I,0)),"")</f>
        <v/>
      </c>
      <c r="E1070" s="65" t="str">
        <f>IFERROR(INDEX(_Datos!E:E,MATCH(1063,_Datos!$I:$I,0)),"")</f>
        <v/>
      </c>
      <c r="F1070" s="63" t="str">
        <f>IFERROR(INDEX(_Datos!F:F,MATCH(1063,_Datos!$I:$I,0)),"")</f>
        <v/>
      </c>
      <c r="G1070" s="63" t="str">
        <f>IFERROR(INDEX(_Datos!G:G,MATCH(1063,_Datos!$I:$I,0)),"")</f>
        <v/>
      </c>
      <c r="H1070" s="66" t="str">
        <f>IFERROR(INDEX(_Datos!H:H,MATCH(1063,_Datos!$I:$I,0)),"")</f>
        <v/>
      </c>
    </row>
    <row r="1071" spans="1:8" x14ac:dyDescent="0.2">
      <c r="A1071" s="67" t="str">
        <f>IFERROR(INDEX(_Datos!A:A,MATCH(1064,_Datos!$I:$I,0)),"")</f>
        <v/>
      </c>
      <c r="B1071" s="67" t="str">
        <f>IFERROR(INDEX(_Datos!B:B,MATCH(1064,_Datos!$I:$I,0)),"")</f>
        <v/>
      </c>
      <c r="C1071" s="67" t="str">
        <f>IFERROR(INDEX(_Datos!C:C,MATCH(1064,_Datos!$I:$I,0)),"")</f>
        <v/>
      </c>
      <c r="D1071" s="68" t="str">
        <f>IFERROR(INDEX(_Datos!D:D,MATCH(1064,_Datos!$I:$I,0)),"")</f>
        <v/>
      </c>
      <c r="E1071" s="69" t="str">
        <f>IFERROR(INDEX(_Datos!E:E,MATCH(1064,_Datos!$I:$I,0)),"")</f>
        <v/>
      </c>
      <c r="F1071" s="67" t="str">
        <f>IFERROR(INDEX(_Datos!F:F,MATCH(1064,_Datos!$I:$I,0)),"")</f>
        <v/>
      </c>
      <c r="G1071" s="67" t="str">
        <f>IFERROR(INDEX(_Datos!G:G,MATCH(1064,_Datos!$I:$I,0)),"")</f>
        <v/>
      </c>
      <c r="H1071" s="70" t="str">
        <f>IFERROR(INDEX(_Datos!H:H,MATCH(1064,_Datos!$I:$I,0)),"")</f>
        <v/>
      </c>
    </row>
    <row r="1072" spans="1:8" x14ac:dyDescent="0.2">
      <c r="A1072" s="63" t="str">
        <f>IFERROR(INDEX(_Datos!A:A,MATCH(1065,_Datos!$I:$I,0)),"")</f>
        <v/>
      </c>
      <c r="B1072" s="63" t="str">
        <f>IFERROR(INDEX(_Datos!B:B,MATCH(1065,_Datos!$I:$I,0)),"")</f>
        <v/>
      </c>
      <c r="C1072" s="63" t="str">
        <f>IFERROR(INDEX(_Datos!C:C,MATCH(1065,_Datos!$I:$I,0)),"")</f>
        <v/>
      </c>
      <c r="D1072" s="64" t="str">
        <f>IFERROR(INDEX(_Datos!D:D,MATCH(1065,_Datos!$I:$I,0)),"")</f>
        <v/>
      </c>
      <c r="E1072" s="65" t="str">
        <f>IFERROR(INDEX(_Datos!E:E,MATCH(1065,_Datos!$I:$I,0)),"")</f>
        <v/>
      </c>
      <c r="F1072" s="63" t="str">
        <f>IFERROR(INDEX(_Datos!F:F,MATCH(1065,_Datos!$I:$I,0)),"")</f>
        <v/>
      </c>
      <c r="G1072" s="63" t="str">
        <f>IFERROR(INDEX(_Datos!G:G,MATCH(1065,_Datos!$I:$I,0)),"")</f>
        <v/>
      </c>
      <c r="H1072" s="66" t="str">
        <f>IFERROR(INDEX(_Datos!H:H,MATCH(1065,_Datos!$I:$I,0)),"")</f>
        <v/>
      </c>
    </row>
    <row r="1073" spans="1:8" x14ac:dyDescent="0.2">
      <c r="A1073" s="67" t="str">
        <f>IFERROR(INDEX(_Datos!A:A,MATCH(1066,_Datos!$I:$I,0)),"")</f>
        <v/>
      </c>
      <c r="B1073" s="67" t="str">
        <f>IFERROR(INDEX(_Datos!B:B,MATCH(1066,_Datos!$I:$I,0)),"")</f>
        <v/>
      </c>
      <c r="C1073" s="67" t="str">
        <f>IFERROR(INDEX(_Datos!C:C,MATCH(1066,_Datos!$I:$I,0)),"")</f>
        <v/>
      </c>
      <c r="D1073" s="68" t="str">
        <f>IFERROR(INDEX(_Datos!D:D,MATCH(1066,_Datos!$I:$I,0)),"")</f>
        <v/>
      </c>
      <c r="E1073" s="69" t="str">
        <f>IFERROR(INDEX(_Datos!E:E,MATCH(1066,_Datos!$I:$I,0)),"")</f>
        <v/>
      </c>
      <c r="F1073" s="67" t="str">
        <f>IFERROR(INDEX(_Datos!F:F,MATCH(1066,_Datos!$I:$I,0)),"")</f>
        <v/>
      </c>
      <c r="G1073" s="67" t="str">
        <f>IFERROR(INDEX(_Datos!G:G,MATCH(1066,_Datos!$I:$I,0)),"")</f>
        <v/>
      </c>
      <c r="H1073" s="70" t="str">
        <f>IFERROR(INDEX(_Datos!H:H,MATCH(1066,_Datos!$I:$I,0)),"")</f>
        <v/>
      </c>
    </row>
    <row r="1074" spans="1:8" x14ac:dyDescent="0.2">
      <c r="A1074" s="63" t="str">
        <f>IFERROR(INDEX(_Datos!A:A,MATCH(1067,_Datos!$I:$I,0)),"")</f>
        <v/>
      </c>
      <c r="B1074" s="63" t="str">
        <f>IFERROR(INDEX(_Datos!B:B,MATCH(1067,_Datos!$I:$I,0)),"")</f>
        <v/>
      </c>
      <c r="C1074" s="63" t="str">
        <f>IFERROR(INDEX(_Datos!C:C,MATCH(1067,_Datos!$I:$I,0)),"")</f>
        <v/>
      </c>
      <c r="D1074" s="64" t="str">
        <f>IFERROR(INDEX(_Datos!D:D,MATCH(1067,_Datos!$I:$I,0)),"")</f>
        <v/>
      </c>
      <c r="E1074" s="65" t="str">
        <f>IFERROR(INDEX(_Datos!E:E,MATCH(1067,_Datos!$I:$I,0)),"")</f>
        <v/>
      </c>
      <c r="F1074" s="63" t="str">
        <f>IFERROR(INDEX(_Datos!F:F,MATCH(1067,_Datos!$I:$I,0)),"")</f>
        <v/>
      </c>
      <c r="G1074" s="63" t="str">
        <f>IFERROR(INDEX(_Datos!G:G,MATCH(1067,_Datos!$I:$I,0)),"")</f>
        <v/>
      </c>
      <c r="H1074" s="66" t="str">
        <f>IFERROR(INDEX(_Datos!H:H,MATCH(1067,_Datos!$I:$I,0)),"")</f>
        <v/>
      </c>
    </row>
    <row r="1075" spans="1:8" x14ac:dyDescent="0.2">
      <c r="A1075" s="67" t="str">
        <f>IFERROR(INDEX(_Datos!A:A,MATCH(1068,_Datos!$I:$I,0)),"")</f>
        <v/>
      </c>
      <c r="B1075" s="67" t="str">
        <f>IFERROR(INDEX(_Datos!B:B,MATCH(1068,_Datos!$I:$I,0)),"")</f>
        <v/>
      </c>
      <c r="C1075" s="67" t="str">
        <f>IFERROR(INDEX(_Datos!C:C,MATCH(1068,_Datos!$I:$I,0)),"")</f>
        <v/>
      </c>
      <c r="D1075" s="68" t="str">
        <f>IFERROR(INDEX(_Datos!D:D,MATCH(1068,_Datos!$I:$I,0)),"")</f>
        <v/>
      </c>
      <c r="E1075" s="69" t="str">
        <f>IFERROR(INDEX(_Datos!E:E,MATCH(1068,_Datos!$I:$I,0)),"")</f>
        <v/>
      </c>
      <c r="F1075" s="67" t="str">
        <f>IFERROR(INDEX(_Datos!F:F,MATCH(1068,_Datos!$I:$I,0)),"")</f>
        <v/>
      </c>
      <c r="G1075" s="67" t="str">
        <f>IFERROR(INDEX(_Datos!G:G,MATCH(1068,_Datos!$I:$I,0)),"")</f>
        <v/>
      </c>
      <c r="H1075" s="70" t="str">
        <f>IFERROR(INDEX(_Datos!H:H,MATCH(1068,_Datos!$I:$I,0)),"")</f>
        <v/>
      </c>
    </row>
    <row r="1076" spans="1:8" x14ac:dyDescent="0.2">
      <c r="A1076" s="63" t="str">
        <f>IFERROR(INDEX(_Datos!A:A,MATCH(1069,_Datos!$I:$I,0)),"")</f>
        <v/>
      </c>
      <c r="B1076" s="63" t="str">
        <f>IFERROR(INDEX(_Datos!B:B,MATCH(1069,_Datos!$I:$I,0)),"")</f>
        <v/>
      </c>
      <c r="C1076" s="63" t="str">
        <f>IFERROR(INDEX(_Datos!C:C,MATCH(1069,_Datos!$I:$I,0)),"")</f>
        <v/>
      </c>
      <c r="D1076" s="64" t="str">
        <f>IFERROR(INDEX(_Datos!D:D,MATCH(1069,_Datos!$I:$I,0)),"")</f>
        <v/>
      </c>
      <c r="E1076" s="65" t="str">
        <f>IFERROR(INDEX(_Datos!E:E,MATCH(1069,_Datos!$I:$I,0)),"")</f>
        <v/>
      </c>
      <c r="F1076" s="63" t="str">
        <f>IFERROR(INDEX(_Datos!F:F,MATCH(1069,_Datos!$I:$I,0)),"")</f>
        <v/>
      </c>
      <c r="G1076" s="63" t="str">
        <f>IFERROR(INDEX(_Datos!G:G,MATCH(1069,_Datos!$I:$I,0)),"")</f>
        <v/>
      </c>
      <c r="H1076" s="66" t="str">
        <f>IFERROR(INDEX(_Datos!H:H,MATCH(1069,_Datos!$I:$I,0)),"")</f>
        <v/>
      </c>
    </row>
    <row r="1077" spans="1:8" x14ac:dyDescent="0.2">
      <c r="A1077" s="67" t="str">
        <f>IFERROR(INDEX(_Datos!A:A,MATCH(1070,_Datos!$I:$I,0)),"")</f>
        <v/>
      </c>
      <c r="B1077" s="67" t="str">
        <f>IFERROR(INDEX(_Datos!B:B,MATCH(1070,_Datos!$I:$I,0)),"")</f>
        <v/>
      </c>
      <c r="C1077" s="67" t="str">
        <f>IFERROR(INDEX(_Datos!C:C,MATCH(1070,_Datos!$I:$I,0)),"")</f>
        <v/>
      </c>
      <c r="D1077" s="68" t="str">
        <f>IFERROR(INDEX(_Datos!D:D,MATCH(1070,_Datos!$I:$I,0)),"")</f>
        <v/>
      </c>
      <c r="E1077" s="69" t="str">
        <f>IFERROR(INDEX(_Datos!E:E,MATCH(1070,_Datos!$I:$I,0)),"")</f>
        <v/>
      </c>
      <c r="F1077" s="67" t="str">
        <f>IFERROR(INDEX(_Datos!F:F,MATCH(1070,_Datos!$I:$I,0)),"")</f>
        <v/>
      </c>
      <c r="G1077" s="67" t="str">
        <f>IFERROR(INDEX(_Datos!G:G,MATCH(1070,_Datos!$I:$I,0)),"")</f>
        <v/>
      </c>
      <c r="H1077" s="70" t="str">
        <f>IFERROR(INDEX(_Datos!H:H,MATCH(1070,_Datos!$I:$I,0)),"")</f>
        <v/>
      </c>
    </row>
    <row r="1078" spans="1:8" x14ac:dyDescent="0.2">
      <c r="A1078" s="63" t="str">
        <f>IFERROR(INDEX(_Datos!A:A,MATCH(1071,_Datos!$I:$I,0)),"")</f>
        <v/>
      </c>
      <c r="B1078" s="63" t="str">
        <f>IFERROR(INDEX(_Datos!B:B,MATCH(1071,_Datos!$I:$I,0)),"")</f>
        <v/>
      </c>
      <c r="C1078" s="63" t="str">
        <f>IFERROR(INDEX(_Datos!C:C,MATCH(1071,_Datos!$I:$I,0)),"")</f>
        <v/>
      </c>
      <c r="D1078" s="64" t="str">
        <f>IFERROR(INDEX(_Datos!D:D,MATCH(1071,_Datos!$I:$I,0)),"")</f>
        <v/>
      </c>
      <c r="E1078" s="65" t="str">
        <f>IFERROR(INDEX(_Datos!E:E,MATCH(1071,_Datos!$I:$I,0)),"")</f>
        <v/>
      </c>
      <c r="F1078" s="63" t="str">
        <f>IFERROR(INDEX(_Datos!F:F,MATCH(1071,_Datos!$I:$I,0)),"")</f>
        <v/>
      </c>
      <c r="G1078" s="63" t="str">
        <f>IFERROR(INDEX(_Datos!G:G,MATCH(1071,_Datos!$I:$I,0)),"")</f>
        <v/>
      </c>
      <c r="H1078" s="66" t="str">
        <f>IFERROR(INDEX(_Datos!H:H,MATCH(1071,_Datos!$I:$I,0)),"")</f>
        <v/>
      </c>
    </row>
    <row r="1079" spans="1:8" x14ac:dyDescent="0.2">
      <c r="A1079" s="67" t="str">
        <f>IFERROR(INDEX(_Datos!A:A,MATCH(1072,_Datos!$I:$I,0)),"")</f>
        <v/>
      </c>
      <c r="B1079" s="67" t="str">
        <f>IFERROR(INDEX(_Datos!B:B,MATCH(1072,_Datos!$I:$I,0)),"")</f>
        <v/>
      </c>
      <c r="C1079" s="67" t="str">
        <f>IFERROR(INDEX(_Datos!C:C,MATCH(1072,_Datos!$I:$I,0)),"")</f>
        <v/>
      </c>
      <c r="D1079" s="68" t="str">
        <f>IFERROR(INDEX(_Datos!D:D,MATCH(1072,_Datos!$I:$I,0)),"")</f>
        <v/>
      </c>
      <c r="E1079" s="69" t="str">
        <f>IFERROR(INDEX(_Datos!E:E,MATCH(1072,_Datos!$I:$I,0)),"")</f>
        <v/>
      </c>
      <c r="F1079" s="67" t="str">
        <f>IFERROR(INDEX(_Datos!F:F,MATCH(1072,_Datos!$I:$I,0)),"")</f>
        <v/>
      </c>
      <c r="G1079" s="67" t="str">
        <f>IFERROR(INDEX(_Datos!G:G,MATCH(1072,_Datos!$I:$I,0)),"")</f>
        <v/>
      </c>
      <c r="H1079" s="70" t="str">
        <f>IFERROR(INDEX(_Datos!H:H,MATCH(1072,_Datos!$I:$I,0)),"")</f>
        <v/>
      </c>
    </row>
    <row r="1080" spans="1:8" x14ac:dyDescent="0.2">
      <c r="A1080" s="63" t="str">
        <f>IFERROR(INDEX(_Datos!A:A,MATCH(1073,_Datos!$I:$I,0)),"")</f>
        <v/>
      </c>
      <c r="B1080" s="63" t="str">
        <f>IFERROR(INDEX(_Datos!B:B,MATCH(1073,_Datos!$I:$I,0)),"")</f>
        <v/>
      </c>
      <c r="C1080" s="63" t="str">
        <f>IFERROR(INDEX(_Datos!C:C,MATCH(1073,_Datos!$I:$I,0)),"")</f>
        <v/>
      </c>
      <c r="D1080" s="64" t="str">
        <f>IFERROR(INDEX(_Datos!D:D,MATCH(1073,_Datos!$I:$I,0)),"")</f>
        <v/>
      </c>
      <c r="E1080" s="65" t="str">
        <f>IFERROR(INDEX(_Datos!E:E,MATCH(1073,_Datos!$I:$I,0)),"")</f>
        <v/>
      </c>
      <c r="F1080" s="63" t="str">
        <f>IFERROR(INDEX(_Datos!F:F,MATCH(1073,_Datos!$I:$I,0)),"")</f>
        <v/>
      </c>
      <c r="G1080" s="63" t="str">
        <f>IFERROR(INDEX(_Datos!G:G,MATCH(1073,_Datos!$I:$I,0)),"")</f>
        <v/>
      </c>
      <c r="H1080" s="66" t="str">
        <f>IFERROR(INDEX(_Datos!H:H,MATCH(1073,_Datos!$I:$I,0)),"")</f>
        <v/>
      </c>
    </row>
    <row r="1081" spans="1:8" x14ac:dyDescent="0.2">
      <c r="A1081" s="67" t="str">
        <f>IFERROR(INDEX(_Datos!A:A,MATCH(1074,_Datos!$I:$I,0)),"")</f>
        <v/>
      </c>
      <c r="B1081" s="67" t="str">
        <f>IFERROR(INDEX(_Datos!B:B,MATCH(1074,_Datos!$I:$I,0)),"")</f>
        <v/>
      </c>
      <c r="C1081" s="67" t="str">
        <f>IFERROR(INDEX(_Datos!C:C,MATCH(1074,_Datos!$I:$I,0)),"")</f>
        <v/>
      </c>
      <c r="D1081" s="68" t="str">
        <f>IFERROR(INDEX(_Datos!D:D,MATCH(1074,_Datos!$I:$I,0)),"")</f>
        <v/>
      </c>
      <c r="E1081" s="69" t="str">
        <f>IFERROR(INDEX(_Datos!E:E,MATCH(1074,_Datos!$I:$I,0)),"")</f>
        <v/>
      </c>
      <c r="F1081" s="67" t="str">
        <f>IFERROR(INDEX(_Datos!F:F,MATCH(1074,_Datos!$I:$I,0)),"")</f>
        <v/>
      </c>
      <c r="G1081" s="67" t="str">
        <f>IFERROR(INDEX(_Datos!G:G,MATCH(1074,_Datos!$I:$I,0)),"")</f>
        <v/>
      </c>
      <c r="H1081" s="70" t="str">
        <f>IFERROR(INDEX(_Datos!H:H,MATCH(1074,_Datos!$I:$I,0)),"")</f>
        <v/>
      </c>
    </row>
    <row r="1082" spans="1:8" x14ac:dyDescent="0.2">
      <c r="A1082" s="63" t="str">
        <f>IFERROR(INDEX(_Datos!A:A,MATCH(1075,_Datos!$I:$I,0)),"")</f>
        <v/>
      </c>
      <c r="B1082" s="63" t="str">
        <f>IFERROR(INDEX(_Datos!B:B,MATCH(1075,_Datos!$I:$I,0)),"")</f>
        <v/>
      </c>
      <c r="C1082" s="63" t="str">
        <f>IFERROR(INDEX(_Datos!C:C,MATCH(1075,_Datos!$I:$I,0)),"")</f>
        <v/>
      </c>
      <c r="D1082" s="64" t="str">
        <f>IFERROR(INDEX(_Datos!D:D,MATCH(1075,_Datos!$I:$I,0)),"")</f>
        <v/>
      </c>
      <c r="E1082" s="65" t="str">
        <f>IFERROR(INDEX(_Datos!E:E,MATCH(1075,_Datos!$I:$I,0)),"")</f>
        <v/>
      </c>
      <c r="F1082" s="63" t="str">
        <f>IFERROR(INDEX(_Datos!F:F,MATCH(1075,_Datos!$I:$I,0)),"")</f>
        <v/>
      </c>
      <c r="G1082" s="63" t="str">
        <f>IFERROR(INDEX(_Datos!G:G,MATCH(1075,_Datos!$I:$I,0)),"")</f>
        <v/>
      </c>
      <c r="H1082" s="66" t="str">
        <f>IFERROR(INDEX(_Datos!H:H,MATCH(1075,_Datos!$I:$I,0)),"")</f>
        <v/>
      </c>
    </row>
    <row r="1083" spans="1:8" x14ac:dyDescent="0.2">
      <c r="A1083" s="67" t="str">
        <f>IFERROR(INDEX(_Datos!A:A,MATCH(1076,_Datos!$I:$I,0)),"")</f>
        <v/>
      </c>
      <c r="B1083" s="67" t="str">
        <f>IFERROR(INDEX(_Datos!B:B,MATCH(1076,_Datos!$I:$I,0)),"")</f>
        <v/>
      </c>
      <c r="C1083" s="67" t="str">
        <f>IFERROR(INDEX(_Datos!C:C,MATCH(1076,_Datos!$I:$I,0)),"")</f>
        <v/>
      </c>
      <c r="D1083" s="68" t="str">
        <f>IFERROR(INDEX(_Datos!D:D,MATCH(1076,_Datos!$I:$I,0)),"")</f>
        <v/>
      </c>
      <c r="E1083" s="69" t="str">
        <f>IFERROR(INDEX(_Datos!E:E,MATCH(1076,_Datos!$I:$I,0)),"")</f>
        <v/>
      </c>
      <c r="F1083" s="67" t="str">
        <f>IFERROR(INDEX(_Datos!F:F,MATCH(1076,_Datos!$I:$I,0)),"")</f>
        <v/>
      </c>
      <c r="G1083" s="67" t="str">
        <f>IFERROR(INDEX(_Datos!G:G,MATCH(1076,_Datos!$I:$I,0)),"")</f>
        <v/>
      </c>
      <c r="H1083" s="70" t="str">
        <f>IFERROR(INDEX(_Datos!H:H,MATCH(1076,_Datos!$I:$I,0)),"")</f>
        <v/>
      </c>
    </row>
    <row r="1084" spans="1:8" x14ac:dyDescent="0.2">
      <c r="A1084" s="63" t="str">
        <f>IFERROR(INDEX(_Datos!A:A,MATCH(1077,_Datos!$I:$I,0)),"")</f>
        <v/>
      </c>
      <c r="B1084" s="63" t="str">
        <f>IFERROR(INDEX(_Datos!B:B,MATCH(1077,_Datos!$I:$I,0)),"")</f>
        <v/>
      </c>
      <c r="C1084" s="63" t="str">
        <f>IFERROR(INDEX(_Datos!C:C,MATCH(1077,_Datos!$I:$I,0)),"")</f>
        <v/>
      </c>
      <c r="D1084" s="64" t="str">
        <f>IFERROR(INDEX(_Datos!D:D,MATCH(1077,_Datos!$I:$I,0)),"")</f>
        <v/>
      </c>
      <c r="E1084" s="65" t="str">
        <f>IFERROR(INDEX(_Datos!E:E,MATCH(1077,_Datos!$I:$I,0)),"")</f>
        <v/>
      </c>
      <c r="F1084" s="63" t="str">
        <f>IFERROR(INDEX(_Datos!F:F,MATCH(1077,_Datos!$I:$I,0)),"")</f>
        <v/>
      </c>
      <c r="G1084" s="63" t="str">
        <f>IFERROR(INDEX(_Datos!G:G,MATCH(1077,_Datos!$I:$I,0)),"")</f>
        <v/>
      </c>
      <c r="H1084" s="66" t="str">
        <f>IFERROR(INDEX(_Datos!H:H,MATCH(1077,_Datos!$I:$I,0)),"")</f>
        <v/>
      </c>
    </row>
    <row r="1085" spans="1:8" x14ac:dyDescent="0.2">
      <c r="A1085" s="67" t="str">
        <f>IFERROR(INDEX(_Datos!A:A,MATCH(1078,_Datos!$I:$I,0)),"")</f>
        <v/>
      </c>
      <c r="B1085" s="67" t="str">
        <f>IFERROR(INDEX(_Datos!B:B,MATCH(1078,_Datos!$I:$I,0)),"")</f>
        <v/>
      </c>
      <c r="C1085" s="67" t="str">
        <f>IFERROR(INDEX(_Datos!C:C,MATCH(1078,_Datos!$I:$I,0)),"")</f>
        <v/>
      </c>
      <c r="D1085" s="68" t="str">
        <f>IFERROR(INDEX(_Datos!D:D,MATCH(1078,_Datos!$I:$I,0)),"")</f>
        <v/>
      </c>
      <c r="E1085" s="69" t="str">
        <f>IFERROR(INDEX(_Datos!E:E,MATCH(1078,_Datos!$I:$I,0)),"")</f>
        <v/>
      </c>
      <c r="F1085" s="67" t="str">
        <f>IFERROR(INDEX(_Datos!F:F,MATCH(1078,_Datos!$I:$I,0)),"")</f>
        <v/>
      </c>
      <c r="G1085" s="67" t="str">
        <f>IFERROR(INDEX(_Datos!G:G,MATCH(1078,_Datos!$I:$I,0)),"")</f>
        <v/>
      </c>
      <c r="H1085" s="70" t="str">
        <f>IFERROR(INDEX(_Datos!H:H,MATCH(1078,_Datos!$I:$I,0)),"")</f>
        <v/>
      </c>
    </row>
    <row r="1086" spans="1:8" x14ac:dyDescent="0.2">
      <c r="A1086" s="63" t="str">
        <f>IFERROR(INDEX(_Datos!A:A,MATCH(1079,_Datos!$I:$I,0)),"")</f>
        <v/>
      </c>
      <c r="B1086" s="63" t="str">
        <f>IFERROR(INDEX(_Datos!B:B,MATCH(1079,_Datos!$I:$I,0)),"")</f>
        <v/>
      </c>
      <c r="C1086" s="63" t="str">
        <f>IFERROR(INDEX(_Datos!C:C,MATCH(1079,_Datos!$I:$I,0)),"")</f>
        <v/>
      </c>
      <c r="D1086" s="64" t="str">
        <f>IFERROR(INDEX(_Datos!D:D,MATCH(1079,_Datos!$I:$I,0)),"")</f>
        <v/>
      </c>
      <c r="E1086" s="65" t="str">
        <f>IFERROR(INDEX(_Datos!E:E,MATCH(1079,_Datos!$I:$I,0)),"")</f>
        <v/>
      </c>
      <c r="F1086" s="63" t="str">
        <f>IFERROR(INDEX(_Datos!F:F,MATCH(1079,_Datos!$I:$I,0)),"")</f>
        <v/>
      </c>
      <c r="G1086" s="63" t="str">
        <f>IFERROR(INDEX(_Datos!G:G,MATCH(1079,_Datos!$I:$I,0)),"")</f>
        <v/>
      </c>
      <c r="H1086" s="66" t="str">
        <f>IFERROR(INDEX(_Datos!H:H,MATCH(1079,_Datos!$I:$I,0)),"")</f>
        <v/>
      </c>
    </row>
    <row r="1087" spans="1:8" x14ac:dyDescent="0.2">
      <c r="A1087" s="67" t="str">
        <f>IFERROR(INDEX(_Datos!A:A,MATCH(1080,_Datos!$I:$I,0)),"")</f>
        <v/>
      </c>
      <c r="B1087" s="67" t="str">
        <f>IFERROR(INDEX(_Datos!B:B,MATCH(1080,_Datos!$I:$I,0)),"")</f>
        <v/>
      </c>
      <c r="C1087" s="67" t="str">
        <f>IFERROR(INDEX(_Datos!C:C,MATCH(1080,_Datos!$I:$I,0)),"")</f>
        <v/>
      </c>
      <c r="D1087" s="68" t="str">
        <f>IFERROR(INDEX(_Datos!D:D,MATCH(1080,_Datos!$I:$I,0)),"")</f>
        <v/>
      </c>
      <c r="E1087" s="69" t="str">
        <f>IFERROR(INDEX(_Datos!E:E,MATCH(1080,_Datos!$I:$I,0)),"")</f>
        <v/>
      </c>
      <c r="F1087" s="67" t="str">
        <f>IFERROR(INDEX(_Datos!F:F,MATCH(1080,_Datos!$I:$I,0)),"")</f>
        <v/>
      </c>
      <c r="G1087" s="67" t="str">
        <f>IFERROR(INDEX(_Datos!G:G,MATCH(1080,_Datos!$I:$I,0)),"")</f>
        <v/>
      </c>
      <c r="H1087" s="70" t="str">
        <f>IFERROR(INDEX(_Datos!H:H,MATCH(1080,_Datos!$I:$I,0)),"")</f>
        <v/>
      </c>
    </row>
    <row r="1088" spans="1:8" x14ac:dyDescent="0.2">
      <c r="A1088" s="63" t="str">
        <f>IFERROR(INDEX(_Datos!A:A,MATCH(1081,_Datos!$I:$I,0)),"")</f>
        <v/>
      </c>
      <c r="B1088" s="63" t="str">
        <f>IFERROR(INDEX(_Datos!B:B,MATCH(1081,_Datos!$I:$I,0)),"")</f>
        <v/>
      </c>
      <c r="C1088" s="63" t="str">
        <f>IFERROR(INDEX(_Datos!C:C,MATCH(1081,_Datos!$I:$I,0)),"")</f>
        <v/>
      </c>
      <c r="D1088" s="64" t="str">
        <f>IFERROR(INDEX(_Datos!D:D,MATCH(1081,_Datos!$I:$I,0)),"")</f>
        <v/>
      </c>
      <c r="E1088" s="65" t="str">
        <f>IFERROR(INDEX(_Datos!E:E,MATCH(1081,_Datos!$I:$I,0)),"")</f>
        <v/>
      </c>
      <c r="F1088" s="63" t="str">
        <f>IFERROR(INDEX(_Datos!F:F,MATCH(1081,_Datos!$I:$I,0)),"")</f>
        <v/>
      </c>
      <c r="G1088" s="63" t="str">
        <f>IFERROR(INDEX(_Datos!G:G,MATCH(1081,_Datos!$I:$I,0)),"")</f>
        <v/>
      </c>
      <c r="H1088" s="66" t="str">
        <f>IFERROR(INDEX(_Datos!H:H,MATCH(1081,_Datos!$I:$I,0)),"")</f>
        <v/>
      </c>
    </row>
    <row r="1089" spans="1:8" x14ac:dyDescent="0.2">
      <c r="A1089" s="67" t="str">
        <f>IFERROR(INDEX(_Datos!A:A,MATCH(1082,_Datos!$I:$I,0)),"")</f>
        <v/>
      </c>
      <c r="B1089" s="67" t="str">
        <f>IFERROR(INDEX(_Datos!B:B,MATCH(1082,_Datos!$I:$I,0)),"")</f>
        <v/>
      </c>
      <c r="C1089" s="67" t="str">
        <f>IFERROR(INDEX(_Datos!C:C,MATCH(1082,_Datos!$I:$I,0)),"")</f>
        <v/>
      </c>
      <c r="D1089" s="68" t="str">
        <f>IFERROR(INDEX(_Datos!D:D,MATCH(1082,_Datos!$I:$I,0)),"")</f>
        <v/>
      </c>
      <c r="E1089" s="69" t="str">
        <f>IFERROR(INDEX(_Datos!E:E,MATCH(1082,_Datos!$I:$I,0)),"")</f>
        <v/>
      </c>
      <c r="F1089" s="67" t="str">
        <f>IFERROR(INDEX(_Datos!F:F,MATCH(1082,_Datos!$I:$I,0)),"")</f>
        <v/>
      </c>
      <c r="G1089" s="67" t="str">
        <f>IFERROR(INDEX(_Datos!G:G,MATCH(1082,_Datos!$I:$I,0)),"")</f>
        <v/>
      </c>
      <c r="H1089" s="70" t="str">
        <f>IFERROR(INDEX(_Datos!H:H,MATCH(1082,_Datos!$I:$I,0)),"")</f>
        <v/>
      </c>
    </row>
    <row r="1090" spans="1:8" x14ac:dyDescent="0.2">
      <c r="A1090" s="63" t="str">
        <f>IFERROR(INDEX(_Datos!A:A,MATCH(1083,_Datos!$I:$I,0)),"")</f>
        <v/>
      </c>
      <c r="B1090" s="63" t="str">
        <f>IFERROR(INDEX(_Datos!B:B,MATCH(1083,_Datos!$I:$I,0)),"")</f>
        <v/>
      </c>
      <c r="C1090" s="63" t="str">
        <f>IFERROR(INDEX(_Datos!C:C,MATCH(1083,_Datos!$I:$I,0)),"")</f>
        <v/>
      </c>
      <c r="D1090" s="64" t="str">
        <f>IFERROR(INDEX(_Datos!D:D,MATCH(1083,_Datos!$I:$I,0)),"")</f>
        <v/>
      </c>
      <c r="E1090" s="65" t="str">
        <f>IFERROR(INDEX(_Datos!E:E,MATCH(1083,_Datos!$I:$I,0)),"")</f>
        <v/>
      </c>
      <c r="F1090" s="63" t="str">
        <f>IFERROR(INDEX(_Datos!F:F,MATCH(1083,_Datos!$I:$I,0)),"")</f>
        <v/>
      </c>
      <c r="G1090" s="63" t="str">
        <f>IFERROR(INDEX(_Datos!G:G,MATCH(1083,_Datos!$I:$I,0)),"")</f>
        <v/>
      </c>
      <c r="H1090" s="66" t="str">
        <f>IFERROR(INDEX(_Datos!H:H,MATCH(1083,_Datos!$I:$I,0)),"")</f>
        <v/>
      </c>
    </row>
    <row r="1091" spans="1:8" x14ac:dyDescent="0.2">
      <c r="A1091" s="67" t="str">
        <f>IFERROR(INDEX(_Datos!A:A,MATCH(1084,_Datos!$I:$I,0)),"")</f>
        <v/>
      </c>
      <c r="B1091" s="67" t="str">
        <f>IFERROR(INDEX(_Datos!B:B,MATCH(1084,_Datos!$I:$I,0)),"")</f>
        <v/>
      </c>
      <c r="C1091" s="67" t="str">
        <f>IFERROR(INDEX(_Datos!C:C,MATCH(1084,_Datos!$I:$I,0)),"")</f>
        <v/>
      </c>
      <c r="D1091" s="68" t="str">
        <f>IFERROR(INDEX(_Datos!D:D,MATCH(1084,_Datos!$I:$I,0)),"")</f>
        <v/>
      </c>
      <c r="E1091" s="69" t="str">
        <f>IFERROR(INDEX(_Datos!E:E,MATCH(1084,_Datos!$I:$I,0)),"")</f>
        <v/>
      </c>
      <c r="F1091" s="67" t="str">
        <f>IFERROR(INDEX(_Datos!F:F,MATCH(1084,_Datos!$I:$I,0)),"")</f>
        <v/>
      </c>
      <c r="G1091" s="67" t="str">
        <f>IFERROR(INDEX(_Datos!G:G,MATCH(1084,_Datos!$I:$I,0)),"")</f>
        <v/>
      </c>
      <c r="H1091" s="70" t="str">
        <f>IFERROR(INDEX(_Datos!H:H,MATCH(1084,_Datos!$I:$I,0)),"")</f>
        <v/>
      </c>
    </row>
    <row r="1092" spans="1:8" x14ac:dyDescent="0.2">
      <c r="A1092" s="63" t="str">
        <f>IFERROR(INDEX(_Datos!A:A,MATCH(1085,_Datos!$I:$I,0)),"")</f>
        <v/>
      </c>
      <c r="B1092" s="63" t="str">
        <f>IFERROR(INDEX(_Datos!B:B,MATCH(1085,_Datos!$I:$I,0)),"")</f>
        <v/>
      </c>
      <c r="C1092" s="63" t="str">
        <f>IFERROR(INDEX(_Datos!C:C,MATCH(1085,_Datos!$I:$I,0)),"")</f>
        <v/>
      </c>
      <c r="D1092" s="64" t="str">
        <f>IFERROR(INDEX(_Datos!D:D,MATCH(1085,_Datos!$I:$I,0)),"")</f>
        <v/>
      </c>
      <c r="E1092" s="65" t="str">
        <f>IFERROR(INDEX(_Datos!E:E,MATCH(1085,_Datos!$I:$I,0)),"")</f>
        <v/>
      </c>
      <c r="F1092" s="63" t="str">
        <f>IFERROR(INDEX(_Datos!F:F,MATCH(1085,_Datos!$I:$I,0)),"")</f>
        <v/>
      </c>
      <c r="G1092" s="63" t="str">
        <f>IFERROR(INDEX(_Datos!G:G,MATCH(1085,_Datos!$I:$I,0)),"")</f>
        <v/>
      </c>
      <c r="H1092" s="66" t="str">
        <f>IFERROR(INDEX(_Datos!H:H,MATCH(1085,_Datos!$I:$I,0)),"")</f>
        <v/>
      </c>
    </row>
    <row r="1093" spans="1:8" x14ac:dyDescent="0.2">
      <c r="A1093" s="67" t="str">
        <f>IFERROR(INDEX(_Datos!A:A,MATCH(1086,_Datos!$I:$I,0)),"")</f>
        <v/>
      </c>
      <c r="B1093" s="67" t="str">
        <f>IFERROR(INDEX(_Datos!B:B,MATCH(1086,_Datos!$I:$I,0)),"")</f>
        <v/>
      </c>
      <c r="C1093" s="67" t="str">
        <f>IFERROR(INDEX(_Datos!C:C,MATCH(1086,_Datos!$I:$I,0)),"")</f>
        <v/>
      </c>
      <c r="D1093" s="68" t="str">
        <f>IFERROR(INDEX(_Datos!D:D,MATCH(1086,_Datos!$I:$I,0)),"")</f>
        <v/>
      </c>
      <c r="E1093" s="69" t="str">
        <f>IFERROR(INDEX(_Datos!E:E,MATCH(1086,_Datos!$I:$I,0)),"")</f>
        <v/>
      </c>
      <c r="F1093" s="67" t="str">
        <f>IFERROR(INDEX(_Datos!F:F,MATCH(1086,_Datos!$I:$I,0)),"")</f>
        <v/>
      </c>
      <c r="G1093" s="67" t="str">
        <f>IFERROR(INDEX(_Datos!G:G,MATCH(1086,_Datos!$I:$I,0)),"")</f>
        <v/>
      </c>
      <c r="H1093" s="70" t="str">
        <f>IFERROR(INDEX(_Datos!H:H,MATCH(1086,_Datos!$I:$I,0)),"")</f>
        <v/>
      </c>
    </row>
    <row r="1094" spans="1:8" x14ac:dyDescent="0.2">
      <c r="A1094" s="63" t="str">
        <f>IFERROR(INDEX(_Datos!A:A,MATCH(1087,_Datos!$I:$I,0)),"")</f>
        <v/>
      </c>
      <c r="B1094" s="63" t="str">
        <f>IFERROR(INDEX(_Datos!B:B,MATCH(1087,_Datos!$I:$I,0)),"")</f>
        <v/>
      </c>
      <c r="C1094" s="63" t="str">
        <f>IFERROR(INDEX(_Datos!C:C,MATCH(1087,_Datos!$I:$I,0)),"")</f>
        <v/>
      </c>
      <c r="D1094" s="64" t="str">
        <f>IFERROR(INDEX(_Datos!D:D,MATCH(1087,_Datos!$I:$I,0)),"")</f>
        <v/>
      </c>
      <c r="E1094" s="65" t="str">
        <f>IFERROR(INDEX(_Datos!E:E,MATCH(1087,_Datos!$I:$I,0)),"")</f>
        <v/>
      </c>
      <c r="F1094" s="63" t="str">
        <f>IFERROR(INDEX(_Datos!F:F,MATCH(1087,_Datos!$I:$I,0)),"")</f>
        <v/>
      </c>
      <c r="G1094" s="63" t="str">
        <f>IFERROR(INDEX(_Datos!G:G,MATCH(1087,_Datos!$I:$I,0)),"")</f>
        <v/>
      </c>
      <c r="H1094" s="66" t="str">
        <f>IFERROR(INDEX(_Datos!H:H,MATCH(1087,_Datos!$I:$I,0)),"")</f>
        <v/>
      </c>
    </row>
    <row r="1095" spans="1:8" x14ac:dyDescent="0.2">
      <c r="A1095" s="67" t="str">
        <f>IFERROR(INDEX(_Datos!A:A,MATCH(1088,_Datos!$I:$I,0)),"")</f>
        <v/>
      </c>
      <c r="B1095" s="67" t="str">
        <f>IFERROR(INDEX(_Datos!B:B,MATCH(1088,_Datos!$I:$I,0)),"")</f>
        <v/>
      </c>
      <c r="C1095" s="67" t="str">
        <f>IFERROR(INDEX(_Datos!C:C,MATCH(1088,_Datos!$I:$I,0)),"")</f>
        <v/>
      </c>
      <c r="D1095" s="68" t="str">
        <f>IFERROR(INDEX(_Datos!D:D,MATCH(1088,_Datos!$I:$I,0)),"")</f>
        <v/>
      </c>
      <c r="E1095" s="69" t="str">
        <f>IFERROR(INDEX(_Datos!E:E,MATCH(1088,_Datos!$I:$I,0)),"")</f>
        <v/>
      </c>
      <c r="F1095" s="67" t="str">
        <f>IFERROR(INDEX(_Datos!F:F,MATCH(1088,_Datos!$I:$I,0)),"")</f>
        <v/>
      </c>
      <c r="G1095" s="67" t="str">
        <f>IFERROR(INDEX(_Datos!G:G,MATCH(1088,_Datos!$I:$I,0)),"")</f>
        <v/>
      </c>
      <c r="H1095" s="70" t="str">
        <f>IFERROR(INDEX(_Datos!H:H,MATCH(1088,_Datos!$I:$I,0)),"")</f>
        <v/>
      </c>
    </row>
    <row r="1096" spans="1:8" x14ac:dyDescent="0.2">
      <c r="A1096" s="63" t="str">
        <f>IFERROR(INDEX(_Datos!A:A,MATCH(1089,_Datos!$I:$I,0)),"")</f>
        <v/>
      </c>
      <c r="B1096" s="63" t="str">
        <f>IFERROR(INDEX(_Datos!B:B,MATCH(1089,_Datos!$I:$I,0)),"")</f>
        <v/>
      </c>
      <c r="C1096" s="63" t="str">
        <f>IFERROR(INDEX(_Datos!C:C,MATCH(1089,_Datos!$I:$I,0)),"")</f>
        <v/>
      </c>
      <c r="D1096" s="64" t="str">
        <f>IFERROR(INDEX(_Datos!D:D,MATCH(1089,_Datos!$I:$I,0)),"")</f>
        <v/>
      </c>
      <c r="E1096" s="65" t="str">
        <f>IFERROR(INDEX(_Datos!E:E,MATCH(1089,_Datos!$I:$I,0)),"")</f>
        <v/>
      </c>
      <c r="F1096" s="63" t="str">
        <f>IFERROR(INDEX(_Datos!F:F,MATCH(1089,_Datos!$I:$I,0)),"")</f>
        <v/>
      </c>
      <c r="G1096" s="63" t="str">
        <f>IFERROR(INDEX(_Datos!G:G,MATCH(1089,_Datos!$I:$I,0)),"")</f>
        <v/>
      </c>
      <c r="H1096" s="66" t="str">
        <f>IFERROR(INDEX(_Datos!H:H,MATCH(1089,_Datos!$I:$I,0)),"")</f>
        <v/>
      </c>
    </row>
    <row r="1097" spans="1:8" x14ac:dyDescent="0.2">
      <c r="A1097" s="67" t="str">
        <f>IFERROR(INDEX(_Datos!A:A,MATCH(1090,_Datos!$I:$I,0)),"")</f>
        <v/>
      </c>
      <c r="B1097" s="67" t="str">
        <f>IFERROR(INDEX(_Datos!B:B,MATCH(1090,_Datos!$I:$I,0)),"")</f>
        <v/>
      </c>
      <c r="C1097" s="67" t="str">
        <f>IFERROR(INDEX(_Datos!C:C,MATCH(1090,_Datos!$I:$I,0)),"")</f>
        <v/>
      </c>
      <c r="D1097" s="68" t="str">
        <f>IFERROR(INDEX(_Datos!D:D,MATCH(1090,_Datos!$I:$I,0)),"")</f>
        <v/>
      </c>
      <c r="E1097" s="69" t="str">
        <f>IFERROR(INDEX(_Datos!E:E,MATCH(1090,_Datos!$I:$I,0)),"")</f>
        <v/>
      </c>
      <c r="F1097" s="67" t="str">
        <f>IFERROR(INDEX(_Datos!F:F,MATCH(1090,_Datos!$I:$I,0)),"")</f>
        <v/>
      </c>
      <c r="G1097" s="67" t="str">
        <f>IFERROR(INDEX(_Datos!G:G,MATCH(1090,_Datos!$I:$I,0)),"")</f>
        <v/>
      </c>
      <c r="H1097" s="70" t="str">
        <f>IFERROR(INDEX(_Datos!H:H,MATCH(1090,_Datos!$I:$I,0)),"")</f>
        <v/>
      </c>
    </row>
    <row r="1098" spans="1:8" x14ac:dyDescent="0.2">
      <c r="A1098" s="63" t="str">
        <f>IFERROR(INDEX(_Datos!A:A,MATCH(1091,_Datos!$I:$I,0)),"")</f>
        <v/>
      </c>
      <c r="B1098" s="63" t="str">
        <f>IFERROR(INDEX(_Datos!B:B,MATCH(1091,_Datos!$I:$I,0)),"")</f>
        <v/>
      </c>
      <c r="C1098" s="63" t="str">
        <f>IFERROR(INDEX(_Datos!C:C,MATCH(1091,_Datos!$I:$I,0)),"")</f>
        <v/>
      </c>
      <c r="D1098" s="64" t="str">
        <f>IFERROR(INDEX(_Datos!D:D,MATCH(1091,_Datos!$I:$I,0)),"")</f>
        <v/>
      </c>
      <c r="E1098" s="65" t="str">
        <f>IFERROR(INDEX(_Datos!E:E,MATCH(1091,_Datos!$I:$I,0)),"")</f>
        <v/>
      </c>
      <c r="F1098" s="63" t="str">
        <f>IFERROR(INDEX(_Datos!F:F,MATCH(1091,_Datos!$I:$I,0)),"")</f>
        <v/>
      </c>
      <c r="G1098" s="63" t="str">
        <f>IFERROR(INDEX(_Datos!G:G,MATCH(1091,_Datos!$I:$I,0)),"")</f>
        <v/>
      </c>
      <c r="H1098" s="66" t="str">
        <f>IFERROR(INDEX(_Datos!H:H,MATCH(1091,_Datos!$I:$I,0)),"")</f>
        <v/>
      </c>
    </row>
    <row r="1099" spans="1:8" x14ac:dyDescent="0.2">
      <c r="A1099" s="67" t="str">
        <f>IFERROR(INDEX(_Datos!A:A,MATCH(1092,_Datos!$I:$I,0)),"")</f>
        <v/>
      </c>
      <c r="B1099" s="67" t="str">
        <f>IFERROR(INDEX(_Datos!B:B,MATCH(1092,_Datos!$I:$I,0)),"")</f>
        <v/>
      </c>
      <c r="C1099" s="67" t="str">
        <f>IFERROR(INDEX(_Datos!C:C,MATCH(1092,_Datos!$I:$I,0)),"")</f>
        <v/>
      </c>
      <c r="D1099" s="68" t="str">
        <f>IFERROR(INDEX(_Datos!D:D,MATCH(1092,_Datos!$I:$I,0)),"")</f>
        <v/>
      </c>
      <c r="E1099" s="69" t="str">
        <f>IFERROR(INDEX(_Datos!E:E,MATCH(1092,_Datos!$I:$I,0)),"")</f>
        <v/>
      </c>
      <c r="F1099" s="67" t="str">
        <f>IFERROR(INDEX(_Datos!F:F,MATCH(1092,_Datos!$I:$I,0)),"")</f>
        <v/>
      </c>
      <c r="G1099" s="67" t="str">
        <f>IFERROR(INDEX(_Datos!G:G,MATCH(1092,_Datos!$I:$I,0)),"")</f>
        <v/>
      </c>
      <c r="H1099" s="70" t="str">
        <f>IFERROR(INDEX(_Datos!H:H,MATCH(1092,_Datos!$I:$I,0)),"")</f>
        <v/>
      </c>
    </row>
    <row r="1100" spans="1:8" x14ac:dyDescent="0.2">
      <c r="A1100" s="63" t="str">
        <f>IFERROR(INDEX(_Datos!A:A,MATCH(1093,_Datos!$I:$I,0)),"")</f>
        <v/>
      </c>
      <c r="B1100" s="63" t="str">
        <f>IFERROR(INDEX(_Datos!B:B,MATCH(1093,_Datos!$I:$I,0)),"")</f>
        <v/>
      </c>
      <c r="C1100" s="63" t="str">
        <f>IFERROR(INDEX(_Datos!C:C,MATCH(1093,_Datos!$I:$I,0)),"")</f>
        <v/>
      </c>
      <c r="D1100" s="64" t="str">
        <f>IFERROR(INDEX(_Datos!D:D,MATCH(1093,_Datos!$I:$I,0)),"")</f>
        <v/>
      </c>
      <c r="E1100" s="65" t="str">
        <f>IFERROR(INDEX(_Datos!E:E,MATCH(1093,_Datos!$I:$I,0)),"")</f>
        <v/>
      </c>
      <c r="F1100" s="63" t="str">
        <f>IFERROR(INDEX(_Datos!F:F,MATCH(1093,_Datos!$I:$I,0)),"")</f>
        <v/>
      </c>
      <c r="G1100" s="63" t="str">
        <f>IFERROR(INDEX(_Datos!G:G,MATCH(1093,_Datos!$I:$I,0)),"")</f>
        <v/>
      </c>
      <c r="H1100" s="66" t="str">
        <f>IFERROR(INDEX(_Datos!H:H,MATCH(1093,_Datos!$I:$I,0)),"")</f>
        <v/>
      </c>
    </row>
    <row r="1101" spans="1:8" x14ac:dyDescent="0.2">
      <c r="A1101" s="67" t="str">
        <f>IFERROR(INDEX(_Datos!A:A,MATCH(1094,_Datos!$I:$I,0)),"")</f>
        <v/>
      </c>
      <c r="B1101" s="67" t="str">
        <f>IFERROR(INDEX(_Datos!B:B,MATCH(1094,_Datos!$I:$I,0)),"")</f>
        <v/>
      </c>
      <c r="C1101" s="67" t="str">
        <f>IFERROR(INDEX(_Datos!C:C,MATCH(1094,_Datos!$I:$I,0)),"")</f>
        <v/>
      </c>
      <c r="D1101" s="68" t="str">
        <f>IFERROR(INDEX(_Datos!D:D,MATCH(1094,_Datos!$I:$I,0)),"")</f>
        <v/>
      </c>
      <c r="E1101" s="69" t="str">
        <f>IFERROR(INDEX(_Datos!E:E,MATCH(1094,_Datos!$I:$I,0)),"")</f>
        <v/>
      </c>
      <c r="F1101" s="67" t="str">
        <f>IFERROR(INDEX(_Datos!F:F,MATCH(1094,_Datos!$I:$I,0)),"")</f>
        <v/>
      </c>
      <c r="G1101" s="67" t="str">
        <f>IFERROR(INDEX(_Datos!G:G,MATCH(1094,_Datos!$I:$I,0)),"")</f>
        <v/>
      </c>
      <c r="H1101" s="70" t="str">
        <f>IFERROR(INDEX(_Datos!H:H,MATCH(1094,_Datos!$I:$I,0)),"")</f>
        <v/>
      </c>
    </row>
    <row r="1102" spans="1:8" x14ac:dyDescent="0.2">
      <c r="A1102" s="63" t="str">
        <f>IFERROR(INDEX(_Datos!A:A,MATCH(1095,_Datos!$I:$I,0)),"")</f>
        <v/>
      </c>
      <c r="B1102" s="63" t="str">
        <f>IFERROR(INDEX(_Datos!B:B,MATCH(1095,_Datos!$I:$I,0)),"")</f>
        <v/>
      </c>
      <c r="C1102" s="63" t="str">
        <f>IFERROR(INDEX(_Datos!C:C,MATCH(1095,_Datos!$I:$I,0)),"")</f>
        <v/>
      </c>
      <c r="D1102" s="64" t="str">
        <f>IFERROR(INDEX(_Datos!D:D,MATCH(1095,_Datos!$I:$I,0)),"")</f>
        <v/>
      </c>
      <c r="E1102" s="65" t="str">
        <f>IFERROR(INDEX(_Datos!E:E,MATCH(1095,_Datos!$I:$I,0)),"")</f>
        <v/>
      </c>
      <c r="F1102" s="63" t="str">
        <f>IFERROR(INDEX(_Datos!F:F,MATCH(1095,_Datos!$I:$I,0)),"")</f>
        <v/>
      </c>
      <c r="G1102" s="63" t="str">
        <f>IFERROR(INDEX(_Datos!G:G,MATCH(1095,_Datos!$I:$I,0)),"")</f>
        <v/>
      </c>
      <c r="H1102" s="66" t="str">
        <f>IFERROR(INDEX(_Datos!H:H,MATCH(1095,_Datos!$I:$I,0)),"")</f>
        <v/>
      </c>
    </row>
    <row r="1103" spans="1:8" x14ac:dyDescent="0.2">
      <c r="A1103" s="67" t="str">
        <f>IFERROR(INDEX(_Datos!A:A,MATCH(1096,_Datos!$I:$I,0)),"")</f>
        <v/>
      </c>
      <c r="B1103" s="67" t="str">
        <f>IFERROR(INDEX(_Datos!B:B,MATCH(1096,_Datos!$I:$I,0)),"")</f>
        <v/>
      </c>
      <c r="C1103" s="67" t="str">
        <f>IFERROR(INDEX(_Datos!C:C,MATCH(1096,_Datos!$I:$I,0)),"")</f>
        <v/>
      </c>
      <c r="D1103" s="68" t="str">
        <f>IFERROR(INDEX(_Datos!D:D,MATCH(1096,_Datos!$I:$I,0)),"")</f>
        <v/>
      </c>
      <c r="E1103" s="69" t="str">
        <f>IFERROR(INDEX(_Datos!E:E,MATCH(1096,_Datos!$I:$I,0)),"")</f>
        <v/>
      </c>
      <c r="F1103" s="67" t="str">
        <f>IFERROR(INDEX(_Datos!F:F,MATCH(1096,_Datos!$I:$I,0)),"")</f>
        <v/>
      </c>
      <c r="G1103" s="67" t="str">
        <f>IFERROR(INDEX(_Datos!G:G,MATCH(1096,_Datos!$I:$I,0)),"")</f>
        <v/>
      </c>
      <c r="H1103" s="70" t="str">
        <f>IFERROR(INDEX(_Datos!H:H,MATCH(1096,_Datos!$I:$I,0)),"")</f>
        <v/>
      </c>
    </row>
    <row r="1104" spans="1:8" x14ac:dyDescent="0.2">
      <c r="A1104" s="63" t="str">
        <f>IFERROR(INDEX(_Datos!A:A,MATCH(1097,_Datos!$I:$I,0)),"")</f>
        <v/>
      </c>
      <c r="B1104" s="63" t="str">
        <f>IFERROR(INDEX(_Datos!B:B,MATCH(1097,_Datos!$I:$I,0)),"")</f>
        <v/>
      </c>
      <c r="C1104" s="63" t="str">
        <f>IFERROR(INDEX(_Datos!C:C,MATCH(1097,_Datos!$I:$I,0)),"")</f>
        <v/>
      </c>
      <c r="D1104" s="64" t="str">
        <f>IFERROR(INDEX(_Datos!D:D,MATCH(1097,_Datos!$I:$I,0)),"")</f>
        <v/>
      </c>
      <c r="E1104" s="65" t="str">
        <f>IFERROR(INDEX(_Datos!E:E,MATCH(1097,_Datos!$I:$I,0)),"")</f>
        <v/>
      </c>
      <c r="F1104" s="63" t="str">
        <f>IFERROR(INDEX(_Datos!F:F,MATCH(1097,_Datos!$I:$I,0)),"")</f>
        <v/>
      </c>
      <c r="G1104" s="63" t="str">
        <f>IFERROR(INDEX(_Datos!G:G,MATCH(1097,_Datos!$I:$I,0)),"")</f>
        <v/>
      </c>
      <c r="H1104" s="66" t="str">
        <f>IFERROR(INDEX(_Datos!H:H,MATCH(1097,_Datos!$I:$I,0)),"")</f>
        <v/>
      </c>
    </row>
    <row r="1105" spans="1:8" x14ac:dyDescent="0.2">
      <c r="A1105" s="67" t="str">
        <f>IFERROR(INDEX(_Datos!A:A,MATCH(1098,_Datos!$I:$I,0)),"")</f>
        <v/>
      </c>
      <c r="B1105" s="67" t="str">
        <f>IFERROR(INDEX(_Datos!B:B,MATCH(1098,_Datos!$I:$I,0)),"")</f>
        <v/>
      </c>
      <c r="C1105" s="67" t="str">
        <f>IFERROR(INDEX(_Datos!C:C,MATCH(1098,_Datos!$I:$I,0)),"")</f>
        <v/>
      </c>
      <c r="D1105" s="68" t="str">
        <f>IFERROR(INDEX(_Datos!D:D,MATCH(1098,_Datos!$I:$I,0)),"")</f>
        <v/>
      </c>
      <c r="E1105" s="69" t="str">
        <f>IFERROR(INDEX(_Datos!E:E,MATCH(1098,_Datos!$I:$I,0)),"")</f>
        <v/>
      </c>
      <c r="F1105" s="67" t="str">
        <f>IFERROR(INDEX(_Datos!F:F,MATCH(1098,_Datos!$I:$I,0)),"")</f>
        <v/>
      </c>
      <c r="G1105" s="67" t="str">
        <f>IFERROR(INDEX(_Datos!G:G,MATCH(1098,_Datos!$I:$I,0)),"")</f>
        <v/>
      </c>
      <c r="H1105" s="70" t="str">
        <f>IFERROR(INDEX(_Datos!H:H,MATCH(1098,_Datos!$I:$I,0)),"")</f>
        <v/>
      </c>
    </row>
    <row r="1106" spans="1:8" x14ac:dyDescent="0.2">
      <c r="A1106" s="63" t="str">
        <f>IFERROR(INDEX(_Datos!A:A,MATCH(1099,_Datos!$I:$I,0)),"")</f>
        <v/>
      </c>
      <c r="B1106" s="63" t="str">
        <f>IFERROR(INDEX(_Datos!B:B,MATCH(1099,_Datos!$I:$I,0)),"")</f>
        <v/>
      </c>
      <c r="C1106" s="63" t="str">
        <f>IFERROR(INDEX(_Datos!C:C,MATCH(1099,_Datos!$I:$I,0)),"")</f>
        <v/>
      </c>
      <c r="D1106" s="64" t="str">
        <f>IFERROR(INDEX(_Datos!D:D,MATCH(1099,_Datos!$I:$I,0)),"")</f>
        <v/>
      </c>
      <c r="E1106" s="65" t="str">
        <f>IFERROR(INDEX(_Datos!E:E,MATCH(1099,_Datos!$I:$I,0)),"")</f>
        <v/>
      </c>
      <c r="F1106" s="63" t="str">
        <f>IFERROR(INDEX(_Datos!F:F,MATCH(1099,_Datos!$I:$I,0)),"")</f>
        <v/>
      </c>
      <c r="G1106" s="63" t="str">
        <f>IFERROR(INDEX(_Datos!G:G,MATCH(1099,_Datos!$I:$I,0)),"")</f>
        <v/>
      </c>
      <c r="H1106" s="66" t="str">
        <f>IFERROR(INDEX(_Datos!H:H,MATCH(1099,_Datos!$I:$I,0)),"")</f>
        <v/>
      </c>
    </row>
    <row r="1107" spans="1:8" x14ac:dyDescent="0.2">
      <c r="A1107" s="67" t="str">
        <f>IFERROR(INDEX(_Datos!A:A,MATCH(1100,_Datos!$I:$I,0)),"")</f>
        <v/>
      </c>
      <c r="B1107" s="67" t="str">
        <f>IFERROR(INDEX(_Datos!B:B,MATCH(1100,_Datos!$I:$I,0)),"")</f>
        <v/>
      </c>
      <c r="C1107" s="67" t="str">
        <f>IFERROR(INDEX(_Datos!C:C,MATCH(1100,_Datos!$I:$I,0)),"")</f>
        <v/>
      </c>
      <c r="D1107" s="68" t="str">
        <f>IFERROR(INDEX(_Datos!D:D,MATCH(1100,_Datos!$I:$I,0)),"")</f>
        <v/>
      </c>
      <c r="E1107" s="69" t="str">
        <f>IFERROR(INDEX(_Datos!E:E,MATCH(1100,_Datos!$I:$I,0)),"")</f>
        <v/>
      </c>
      <c r="F1107" s="67" t="str">
        <f>IFERROR(INDEX(_Datos!F:F,MATCH(1100,_Datos!$I:$I,0)),"")</f>
        <v/>
      </c>
      <c r="G1107" s="67" t="str">
        <f>IFERROR(INDEX(_Datos!G:G,MATCH(1100,_Datos!$I:$I,0)),"")</f>
        <v/>
      </c>
      <c r="H1107" s="70" t="str">
        <f>IFERROR(INDEX(_Datos!H:H,MATCH(1100,_Datos!$I:$I,0)),"")</f>
        <v/>
      </c>
    </row>
    <row r="1108" spans="1:8" x14ac:dyDescent="0.2">
      <c r="A1108" s="63" t="str">
        <f>IFERROR(INDEX(_Datos!A:A,MATCH(1101,_Datos!$I:$I,0)),"")</f>
        <v/>
      </c>
      <c r="B1108" s="63" t="str">
        <f>IFERROR(INDEX(_Datos!B:B,MATCH(1101,_Datos!$I:$I,0)),"")</f>
        <v/>
      </c>
      <c r="C1108" s="63" t="str">
        <f>IFERROR(INDEX(_Datos!C:C,MATCH(1101,_Datos!$I:$I,0)),"")</f>
        <v/>
      </c>
      <c r="D1108" s="64" t="str">
        <f>IFERROR(INDEX(_Datos!D:D,MATCH(1101,_Datos!$I:$I,0)),"")</f>
        <v/>
      </c>
      <c r="E1108" s="65" t="str">
        <f>IFERROR(INDEX(_Datos!E:E,MATCH(1101,_Datos!$I:$I,0)),"")</f>
        <v/>
      </c>
      <c r="F1108" s="63" t="str">
        <f>IFERROR(INDEX(_Datos!F:F,MATCH(1101,_Datos!$I:$I,0)),"")</f>
        <v/>
      </c>
      <c r="G1108" s="63" t="str">
        <f>IFERROR(INDEX(_Datos!G:G,MATCH(1101,_Datos!$I:$I,0)),"")</f>
        <v/>
      </c>
      <c r="H1108" s="66" t="str">
        <f>IFERROR(INDEX(_Datos!H:H,MATCH(1101,_Datos!$I:$I,0)),"")</f>
        <v/>
      </c>
    </row>
    <row r="1109" spans="1:8" x14ac:dyDescent="0.2">
      <c r="A1109" s="67" t="str">
        <f>IFERROR(INDEX(_Datos!A:A,MATCH(1102,_Datos!$I:$I,0)),"")</f>
        <v/>
      </c>
      <c r="B1109" s="67" t="str">
        <f>IFERROR(INDEX(_Datos!B:B,MATCH(1102,_Datos!$I:$I,0)),"")</f>
        <v/>
      </c>
      <c r="C1109" s="67" t="str">
        <f>IFERROR(INDEX(_Datos!C:C,MATCH(1102,_Datos!$I:$I,0)),"")</f>
        <v/>
      </c>
      <c r="D1109" s="68" t="str">
        <f>IFERROR(INDEX(_Datos!D:D,MATCH(1102,_Datos!$I:$I,0)),"")</f>
        <v/>
      </c>
      <c r="E1109" s="69" t="str">
        <f>IFERROR(INDEX(_Datos!E:E,MATCH(1102,_Datos!$I:$I,0)),"")</f>
        <v/>
      </c>
      <c r="F1109" s="67" t="str">
        <f>IFERROR(INDEX(_Datos!F:F,MATCH(1102,_Datos!$I:$I,0)),"")</f>
        <v/>
      </c>
      <c r="G1109" s="67" t="str">
        <f>IFERROR(INDEX(_Datos!G:G,MATCH(1102,_Datos!$I:$I,0)),"")</f>
        <v/>
      </c>
      <c r="H1109" s="70" t="str">
        <f>IFERROR(INDEX(_Datos!H:H,MATCH(1102,_Datos!$I:$I,0)),"")</f>
        <v/>
      </c>
    </row>
    <row r="1110" spans="1:8" x14ac:dyDescent="0.2">
      <c r="A1110" s="63" t="str">
        <f>IFERROR(INDEX(_Datos!A:A,MATCH(1103,_Datos!$I:$I,0)),"")</f>
        <v/>
      </c>
      <c r="B1110" s="63" t="str">
        <f>IFERROR(INDEX(_Datos!B:B,MATCH(1103,_Datos!$I:$I,0)),"")</f>
        <v/>
      </c>
      <c r="C1110" s="63" t="str">
        <f>IFERROR(INDEX(_Datos!C:C,MATCH(1103,_Datos!$I:$I,0)),"")</f>
        <v/>
      </c>
      <c r="D1110" s="64" t="str">
        <f>IFERROR(INDEX(_Datos!D:D,MATCH(1103,_Datos!$I:$I,0)),"")</f>
        <v/>
      </c>
      <c r="E1110" s="65" t="str">
        <f>IFERROR(INDEX(_Datos!E:E,MATCH(1103,_Datos!$I:$I,0)),"")</f>
        <v/>
      </c>
      <c r="F1110" s="63" t="str">
        <f>IFERROR(INDEX(_Datos!F:F,MATCH(1103,_Datos!$I:$I,0)),"")</f>
        <v/>
      </c>
      <c r="G1110" s="63" t="str">
        <f>IFERROR(INDEX(_Datos!G:G,MATCH(1103,_Datos!$I:$I,0)),"")</f>
        <v/>
      </c>
      <c r="H1110" s="66" t="str">
        <f>IFERROR(INDEX(_Datos!H:H,MATCH(1103,_Datos!$I:$I,0)),"")</f>
        <v/>
      </c>
    </row>
    <row r="1111" spans="1:8" x14ac:dyDescent="0.2">
      <c r="A1111" s="67" t="str">
        <f>IFERROR(INDEX(_Datos!A:A,MATCH(1104,_Datos!$I:$I,0)),"")</f>
        <v/>
      </c>
      <c r="B1111" s="67" t="str">
        <f>IFERROR(INDEX(_Datos!B:B,MATCH(1104,_Datos!$I:$I,0)),"")</f>
        <v/>
      </c>
      <c r="C1111" s="67" t="str">
        <f>IFERROR(INDEX(_Datos!C:C,MATCH(1104,_Datos!$I:$I,0)),"")</f>
        <v/>
      </c>
      <c r="D1111" s="68" t="str">
        <f>IFERROR(INDEX(_Datos!D:D,MATCH(1104,_Datos!$I:$I,0)),"")</f>
        <v/>
      </c>
      <c r="E1111" s="69" t="str">
        <f>IFERROR(INDEX(_Datos!E:E,MATCH(1104,_Datos!$I:$I,0)),"")</f>
        <v/>
      </c>
      <c r="F1111" s="67" t="str">
        <f>IFERROR(INDEX(_Datos!F:F,MATCH(1104,_Datos!$I:$I,0)),"")</f>
        <v/>
      </c>
      <c r="G1111" s="67" t="str">
        <f>IFERROR(INDEX(_Datos!G:G,MATCH(1104,_Datos!$I:$I,0)),"")</f>
        <v/>
      </c>
      <c r="H1111" s="70" t="str">
        <f>IFERROR(INDEX(_Datos!H:H,MATCH(1104,_Datos!$I:$I,0)),"")</f>
        <v/>
      </c>
    </row>
    <row r="1112" spans="1:8" x14ac:dyDescent="0.2">
      <c r="A1112" s="63" t="str">
        <f>IFERROR(INDEX(_Datos!A:A,MATCH(1105,_Datos!$I:$I,0)),"")</f>
        <v/>
      </c>
      <c r="B1112" s="63" t="str">
        <f>IFERROR(INDEX(_Datos!B:B,MATCH(1105,_Datos!$I:$I,0)),"")</f>
        <v/>
      </c>
      <c r="C1112" s="63" t="str">
        <f>IFERROR(INDEX(_Datos!C:C,MATCH(1105,_Datos!$I:$I,0)),"")</f>
        <v/>
      </c>
      <c r="D1112" s="64" t="str">
        <f>IFERROR(INDEX(_Datos!D:D,MATCH(1105,_Datos!$I:$I,0)),"")</f>
        <v/>
      </c>
      <c r="E1112" s="65" t="str">
        <f>IFERROR(INDEX(_Datos!E:E,MATCH(1105,_Datos!$I:$I,0)),"")</f>
        <v/>
      </c>
      <c r="F1112" s="63" t="str">
        <f>IFERROR(INDEX(_Datos!F:F,MATCH(1105,_Datos!$I:$I,0)),"")</f>
        <v/>
      </c>
      <c r="G1112" s="63" t="str">
        <f>IFERROR(INDEX(_Datos!G:G,MATCH(1105,_Datos!$I:$I,0)),"")</f>
        <v/>
      </c>
      <c r="H1112" s="66" t="str">
        <f>IFERROR(INDEX(_Datos!H:H,MATCH(1105,_Datos!$I:$I,0)),"")</f>
        <v/>
      </c>
    </row>
    <row r="1113" spans="1:8" x14ac:dyDescent="0.2">
      <c r="A1113" s="67" t="str">
        <f>IFERROR(INDEX(_Datos!A:A,MATCH(1106,_Datos!$I:$I,0)),"")</f>
        <v/>
      </c>
      <c r="B1113" s="67" t="str">
        <f>IFERROR(INDEX(_Datos!B:B,MATCH(1106,_Datos!$I:$I,0)),"")</f>
        <v/>
      </c>
      <c r="C1113" s="67" t="str">
        <f>IFERROR(INDEX(_Datos!C:C,MATCH(1106,_Datos!$I:$I,0)),"")</f>
        <v/>
      </c>
      <c r="D1113" s="68" t="str">
        <f>IFERROR(INDEX(_Datos!D:D,MATCH(1106,_Datos!$I:$I,0)),"")</f>
        <v/>
      </c>
      <c r="E1113" s="69" t="str">
        <f>IFERROR(INDEX(_Datos!E:E,MATCH(1106,_Datos!$I:$I,0)),"")</f>
        <v/>
      </c>
      <c r="F1113" s="67" t="str">
        <f>IFERROR(INDEX(_Datos!F:F,MATCH(1106,_Datos!$I:$I,0)),"")</f>
        <v/>
      </c>
      <c r="G1113" s="67" t="str">
        <f>IFERROR(INDEX(_Datos!G:G,MATCH(1106,_Datos!$I:$I,0)),"")</f>
        <v/>
      </c>
      <c r="H1113" s="70" t="str">
        <f>IFERROR(INDEX(_Datos!H:H,MATCH(1106,_Datos!$I:$I,0)),"")</f>
        <v/>
      </c>
    </row>
    <row r="1114" spans="1:8" x14ac:dyDescent="0.2">
      <c r="A1114" s="63" t="str">
        <f>IFERROR(INDEX(_Datos!A:A,MATCH(1107,_Datos!$I:$I,0)),"")</f>
        <v/>
      </c>
      <c r="B1114" s="63" t="str">
        <f>IFERROR(INDEX(_Datos!B:B,MATCH(1107,_Datos!$I:$I,0)),"")</f>
        <v/>
      </c>
      <c r="C1114" s="63" t="str">
        <f>IFERROR(INDEX(_Datos!C:C,MATCH(1107,_Datos!$I:$I,0)),"")</f>
        <v/>
      </c>
      <c r="D1114" s="64" t="str">
        <f>IFERROR(INDEX(_Datos!D:D,MATCH(1107,_Datos!$I:$I,0)),"")</f>
        <v/>
      </c>
      <c r="E1114" s="65" t="str">
        <f>IFERROR(INDEX(_Datos!E:E,MATCH(1107,_Datos!$I:$I,0)),"")</f>
        <v/>
      </c>
      <c r="F1114" s="63" t="str">
        <f>IFERROR(INDEX(_Datos!F:F,MATCH(1107,_Datos!$I:$I,0)),"")</f>
        <v/>
      </c>
      <c r="G1114" s="63" t="str">
        <f>IFERROR(INDEX(_Datos!G:G,MATCH(1107,_Datos!$I:$I,0)),"")</f>
        <v/>
      </c>
      <c r="H1114" s="66" t="str">
        <f>IFERROR(INDEX(_Datos!H:H,MATCH(1107,_Datos!$I:$I,0)),"")</f>
        <v/>
      </c>
    </row>
    <row r="1115" spans="1:8" x14ac:dyDescent="0.2">
      <c r="A1115" s="67" t="str">
        <f>IFERROR(INDEX(_Datos!A:A,MATCH(1108,_Datos!$I:$I,0)),"")</f>
        <v/>
      </c>
      <c r="B1115" s="67" t="str">
        <f>IFERROR(INDEX(_Datos!B:B,MATCH(1108,_Datos!$I:$I,0)),"")</f>
        <v/>
      </c>
      <c r="C1115" s="67" t="str">
        <f>IFERROR(INDEX(_Datos!C:C,MATCH(1108,_Datos!$I:$I,0)),"")</f>
        <v/>
      </c>
      <c r="D1115" s="68" t="str">
        <f>IFERROR(INDEX(_Datos!D:D,MATCH(1108,_Datos!$I:$I,0)),"")</f>
        <v/>
      </c>
      <c r="E1115" s="69" t="str">
        <f>IFERROR(INDEX(_Datos!E:E,MATCH(1108,_Datos!$I:$I,0)),"")</f>
        <v/>
      </c>
      <c r="F1115" s="67" t="str">
        <f>IFERROR(INDEX(_Datos!F:F,MATCH(1108,_Datos!$I:$I,0)),"")</f>
        <v/>
      </c>
      <c r="G1115" s="67" t="str">
        <f>IFERROR(INDEX(_Datos!G:G,MATCH(1108,_Datos!$I:$I,0)),"")</f>
        <v/>
      </c>
      <c r="H1115" s="70" t="str">
        <f>IFERROR(INDEX(_Datos!H:H,MATCH(1108,_Datos!$I:$I,0)),"")</f>
        <v/>
      </c>
    </row>
    <row r="1116" spans="1:8" x14ac:dyDescent="0.2">
      <c r="A1116" s="63" t="str">
        <f>IFERROR(INDEX(_Datos!A:A,MATCH(1109,_Datos!$I:$I,0)),"")</f>
        <v/>
      </c>
      <c r="B1116" s="63" t="str">
        <f>IFERROR(INDEX(_Datos!B:B,MATCH(1109,_Datos!$I:$I,0)),"")</f>
        <v/>
      </c>
      <c r="C1116" s="63" t="str">
        <f>IFERROR(INDEX(_Datos!C:C,MATCH(1109,_Datos!$I:$I,0)),"")</f>
        <v/>
      </c>
      <c r="D1116" s="64" t="str">
        <f>IFERROR(INDEX(_Datos!D:D,MATCH(1109,_Datos!$I:$I,0)),"")</f>
        <v/>
      </c>
      <c r="E1116" s="65" t="str">
        <f>IFERROR(INDEX(_Datos!E:E,MATCH(1109,_Datos!$I:$I,0)),"")</f>
        <v/>
      </c>
      <c r="F1116" s="63" t="str">
        <f>IFERROR(INDEX(_Datos!F:F,MATCH(1109,_Datos!$I:$I,0)),"")</f>
        <v/>
      </c>
      <c r="G1116" s="63" t="str">
        <f>IFERROR(INDEX(_Datos!G:G,MATCH(1109,_Datos!$I:$I,0)),"")</f>
        <v/>
      </c>
      <c r="H1116" s="66" t="str">
        <f>IFERROR(INDEX(_Datos!H:H,MATCH(1109,_Datos!$I:$I,0)),"")</f>
        <v/>
      </c>
    </row>
    <row r="1117" spans="1:8" x14ac:dyDescent="0.2">
      <c r="A1117" s="67" t="str">
        <f>IFERROR(INDEX(_Datos!A:A,MATCH(1110,_Datos!$I:$I,0)),"")</f>
        <v/>
      </c>
      <c r="B1117" s="67" t="str">
        <f>IFERROR(INDEX(_Datos!B:B,MATCH(1110,_Datos!$I:$I,0)),"")</f>
        <v/>
      </c>
      <c r="C1117" s="67" t="str">
        <f>IFERROR(INDEX(_Datos!C:C,MATCH(1110,_Datos!$I:$I,0)),"")</f>
        <v/>
      </c>
      <c r="D1117" s="68" t="str">
        <f>IFERROR(INDEX(_Datos!D:D,MATCH(1110,_Datos!$I:$I,0)),"")</f>
        <v/>
      </c>
      <c r="E1117" s="69" t="str">
        <f>IFERROR(INDEX(_Datos!E:E,MATCH(1110,_Datos!$I:$I,0)),"")</f>
        <v/>
      </c>
      <c r="F1117" s="67" t="str">
        <f>IFERROR(INDEX(_Datos!F:F,MATCH(1110,_Datos!$I:$I,0)),"")</f>
        <v/>
      </c>
      <c r="G1117" s="67" t="str">
        <f>IFERROR(INDEX(_Datos!G:G,MATCH(1110,_Datos!$I:$I,0)),"")</f>
        <v/>
      </c>
      <c r="H1117" s="70" t="str">
        <f>IFERROR(INDEX(_Datos!H:H,MATCH(1110,_Datos!$I:$I,0)),"")</f>
        <v/>
      </c>
    </row>
    <row r="1118" spans="1:8" x14ac:dyDescent="0.2">
      <c r="A1118" s="63" t="str">
        <f>IFERROR(INDEX(_Datos!A:A,MATCH(1111,_Datos!$I:$I,0)),"")</f>
        <v/>
      </c>
      <c r="B1118" s="63" t="str">
        <f>IFERROR(INDEX(_Datos!B:B,MATCH(1111,_Datos!$I:$I,0)),"")</f>
        <v/>
      </c>
      <c r="C1118" s="63" t="str">
        <f>IFERROR(INDEX(_Datos!C:C,MATCH(1111,_Datos!$I:$I,0)),"")</f>
        <v/>
      </c>
      <c r="D1118" s="64" t="str">
        <f>IFERROR(INDEX(_Datos!D:D,MATCH(1111,_Datos!$I:$I,0)),"")</f>
        <v/>
      </c>
      <c r="E1118" s="65" t="str">
        <f>IFERROR(INDEX(_Datos!E:E,MATCH(1111,_Datos!$I:$I,0)),"")</f>
        <v/>
      </c>
      <c r="F1118" s="63" t="str">
        <f>IFERROR(INDEX(_Datos!F:F,MATCH(1111,_Datos!$I:$I,0)),"")</f>
        <v/>
      </c>
      <c r="G1118" s="63" t="str">
        <f>IFERROR(INDEX(_Datos!G:G,MATCH(1111,_Datos!$I:$I,0)),"")</f>
        <v/>
      </c>
      <c r="H1118" s="66" t="str">
        <f>IFERROR(INDEX(_Datos!H:H,MATCH(1111,_Datos!$I:$I,0)),"")</f>
        <v/>
      </c>
    </row>
    <row r="1119" spans="1:8" x14ac:dyDescent="0.2">
      <c r="A1119" s="67" t="str">
        <f>IFERROR(INDEX(_Datos!A:A,MATCH(1112,_Datos!$I:$I,0)),"")</f>
        <v/>
      </c>
      <c r="B1119" s="67" t="str">
        <f>IFERROR(INDEX(_Datos!B:B,MATCH(1112,_Datos!$I:$I,0)),"")</f>
        <v/>
      </c>
      <c r="C1119" s="67" t="str">
        <f>IFERROR(INDEX(_Datos!C:C,MATCH(1112,_Datos!$I:$I,0)),"")</f>
        <v/>
      </c>
      <c r="D1119" s="68" t="str">
        <f>IFERROR(INDEX(_Datos!D:D,MATCH(1112,_Datos!$I:$I,0)),"")</f>
        <v/>
      </c>
      <c r="E1119" s="69" t="str">
        <f>IFERROR(INDEX(_Datos!E:E,MATCH(1112,_Datos!$I:$I,0)),"")</f>
        <v/>
      </c>
      <c r="F1119" s="67" t="str">
        <f>IFERROR(INDEX(_Datos!F:F,MATCH(1112,_Datos!$I:$I,0)),"")</f>
        <v/>
      </c>
      <c r="G1119" s="67" t="str">
        <f>IFERROR(INDEX(_Datos!G:G,MATCH(1112,_Datos!$I:$I,0)),"")</f>
        <v/>
      </c>
      <c r="H1119" s="70" t="str">
        <f>IFERROR(INDEX(_Datos!H:H,MATCH(1112,_Datos!$I:$I,0)),"")</f>
        <v/>
      </c>
    </row>
    <row r="1120" spans="1:8" x14ac:dyDescent="0.2">
      <c r="A1120" s="63" t="str">
        <f>IFERROR(INDEX(_Datos!A:A,MATCH(1113,_Datos!$I:$I,0)),"")</f>
        <v/>
      </c>
      <c r="B1120" s="63" t="str">
        <f>IFERROR(INDEX(_Datos!B:B,MATCH(1113,_Datos!$I:$I,0)),"")</f>
        <v/>
      </c>
      <c r="C1120" s="63" t="str">
        <f>IFERROR(INDEX(_Datos!C:C,MATCH(1113,_Datos!$I:$I,0)),"")</f>
        <v/>
      </c>
      <c r="D1120" s="64" t="str">
        <f>IFERROR(INDEX(_Datos!D:D,MATCH(1113,_Datos!$I:$I,0)),"")</f>
        <v/>
      </c>
      <c r="E1120" s="65" t="str">
        <f>IFERROR(INDEX(_Datos!E:E,MATCH(1113,_Datos!$I:$I,0)),"")</f>
        <v/>
      </c>
      <c r="F1120" s="63" t="str">
        <f>IFERROR(INDEX(_Datos!F:F,MATCH(1113,_Datos!$I:$I,0)),"")</f>
        <v/>
      </c>
      <c r="G1120" s="63" t="str">
        <f>IFERROR(INDEX(_Datos!G:G,MATCH(1113,_Datos!$I:$I,0)),"")</f>
        <v/>
      </c>
      <c r="H1120" s="66" t="str">
        <f>IFERROR(INDEX(_Datos!H:H,MATCH(1113,_Datos!$I:$I,0)),"")</f>
        <v/>
      </c>
    </row>
    <row r="1121" spans="1:8" x14ac:dyDescent="0.2">
      <c r="A1121" s="67" t="str">
        <f>IFERROR(INDEX(_Datos!A:A,MATCH(1114,_Datos!$I:$I,0)),"")</f>
        <v/>
      </c>
      <c r="B1121" s="67" t="str">
        <f>IFERROR(INDEX(_Datos!B:B,MATCH(1114,_Datos!$I:$I,0)),"")</f>
        <v/>
      </c>
      <c r="C1121" s="67" t="str">
        <f>IFERROR(INDEX(_Datos!C:C,MATCH(1114,_Datos!$I:$I,0)),"")</f>
        <v/>
      </c>
      <c r="D1121" s="68" t="str">
        <f>IFERROR(INDEX(_Datos!D:D,MATCH(1114,_Datos!$I:$I,0)),"")</f>
        <v/>
      </c>
      <c r="E1121" s="69" t="str">
        <f>IFERROR(INDEX(_Datos!E:E,MATCH(1114,_Datos!$I:$I,0)),"")</f>
        <v/>
      </c>
      <c r="F1121" s="67" t="str">
        <f>IFERROR(INDEX(_Datos!F:F,MATCH(1114,_Datos!$I:$I,0)),"")</f>
        <v/>
      </c>
      <c r="G1121" s="67" t="str">
        <f>IFERROR(INDEX(_Datos!G:G,MATCH(1114,_Datos!$I:$I,0)),"")</f>
        <v/>
      </c>
      <c r="H1121" s="70" t="str">
        <f>IFERROR(INDEX(_Datos!H:H,MATCH(1114,_Datos!$I:$I,0)),"")</f>
        <v/>
      </c>
    </row>
    <row r="1122" spans="1:8" x14ac:dyDescent="0.2">
      <c r="A1122" s="63" t="str">
        <f>IFERROR(INDEX(_Datos!A:A,MATCH(1115,_Datos!$I:$I,0)),"")</f>
        <v/>
      </c>
      <c r="B1122" s="63" t="str">
        <f>IFERROR(INDEX(_Datos!B:B,MATCH(1115,_Datos!$I:$I,0)),"")</f>
        <v/>
      </c>
      <c r="C1122" s="63" t="str">
        <f>IFERROR(INDEX(_Datos!C:C,MATCH(1115,_Datos!$I:$I,0)),"")</f>
        <v/>
      </c>
      <c r="D1122" s="64" t="str">
        <f>IFERROR(INDEX(_Datos!D:D,MATCH(1115,_Datos!$I:$I,0)),"")</f>
        <v/>
      </c>
      <c r="E1122" s="65" t="str">
        <f>IFERROR(INDEX(_Datos!E:E,MATCH(1115,_Datos!$I:$I,0)),"")</f>
        <v/>
      </c>
      <c r="F1122" s="63" t="str">
        <f>IFERROR(INDEX(_Datos!F:F,MATCH(1115,_Datos!$I:$I,0)),"")</f>
        <v/>
      </c>
      <c r="G1122" s="63" t="str">
        <f>IFERROR(INDEX(_Datos!G:G,MATCH(1115,_Datos!$I:$I,0)),"")</f>
        <v/>
      </c>
      <c r="H1122" s="66" t="str">
        <f>IFERROR(INDEX(_Datos!H:H,MATCH(1115,_Datos!$I:$I,0)),"")</f>
        <v/>
      </c>
    </row>
    <row r="1123" spans="1:8" x14ac:dyDescent="0.2">
      <c r="A1123" s="67" t="str">
        <f>IFERROR(INDEX(_Datos!A:A,MATCH(1116,_Datos!$I:$I,0)),"")</f>
        <v/>
      </c>
      <c r="B1123" s="67" t="str">
        <f>IFERROR(INDEX(_Datos!B:B,MATCH(1116,_Datos!$I:$I,0)),"")</f>
        <v/>
      </c>
      <c r="C1123" s="67" t="str">
        <f>IFERROR(INDEX(_Datos!C:C,MATCH(1116,_Datos!$I:$I,0)),"")</f>
        <v/>
      </c>
      <c r="D1123" s="68" t="str">
        <f>IFERROR(INDEX(_Datos!D:D,MATCH(1116,_Datos!$I:$I,0)),"")</f>
        <v/>
      </c>
      <c r="E1123" s="69" t="str">
        <f>IFERROR(INDEX(_Datos!E:E,MATCH(1116,_Datos!$I:$I,0)),"")</f>
        <v/>
      </c>
      <c r="F1123" s="67" t="str">
        <f>IFERROR(INDEX(_Datos!F:F,MATCH(1116,_Datos!$I:$I,0)),"")</f>
        <v/>
      </c>
      <c r="G1123" s="67" t="str">
        <f>IFERROR(INDEX(_Datos!G:G,MATCH(1116,_Datos!$I:$I,0)),"")</f>
        <v/>
      </c>
      <c r="H1123" s="70" t="str">
        <f>IFERROR(INDEX(_Datos!H:H,MATCH(1116,_Datos!$I:$I,0)),"")</f>
        <v/>
      </c>
    </row>
    <row r="1124" spans="1:8" x14ac:dyDescent="0.2">
      <c r="A1124" s="63" t="str">
        <f>IFERROR(INDEX(_Datos!A:A,MATCH(1117,_Datos!$I:$I,0)),"")</f>
        <v/>
      </c>
      <c r="B1124" s="63" t="str">
        <f>IFERROR(INDEX(_Datos!B:B,MATCH(1117,_Datos!$I:$I,0)),"")</f>
        <v/>
      </c>
      <c r="C1124" s="63" t="str">
        <f>IFERROR(INDEX(_Datos!C:C,MATCH(1117,_Datos!$I:$I,0)),"")</f>
        <v/>
      </c>
      <c r="D1124" s="64" t="str">
        <f>IFERROR(INDEX(_Datos!D:D,MATCH(1117,_Datos!$I:$I,0)),"")</f>
        <v/>
      </c>
      <c r="E1124" s="65" t="str">
        <f>IFERROR(INDEX(_Datos!E:E,MATCH(1117,_Datos!$I:$I,0)),"")</f>
        <v/>
      </c>
      <c r="F1124" s="63" t="str">
        <f>IFERROR(INDEX(_Datos!F:F,MATCH(1117,_Datos!$I:$I,0)),"")</f>
        <v/>
      </c>
      <c r="G1124" s="63" t="str">
        <f>IFERROR(INDEX(_Datos!G:G,MATCH(1117,_Datos!$I:$I,0)),"")</f>
        <v/>
      </c>
      <c r="H1124" s="66" t="str">
        <f>IFERROR(INDEX(_Datos!H:H,MATCH(1117,_Datos!$I:$I,0)),"")</f>
        <v/>
      </c>
    </row>
    <row r="1125" spans="1:8" x14ac:dyDescent="0.2">
      <c r="A1125" s="67" t="str">
        <f>IFERROR(INDEX(_Datos!A:A,MATCH(1118,_Datos!$I:$I,0)),"")</f>
        <v/>
      </c>
      <c r="B1125" s="67" t="str">
        <f>IFERROR(INDEX(_Datos!B:B,MATCH(1118,_Datos!$I:$I,0)),"")</f>
        <v/>
      </c>
      <c r="C1125" s="67" t="str">
        <f>IFERROR(INDEX(_Datos!C:C,MATCH(1118,_Datos!$I:$I,0)),"")</f>
        <v/>
      </c>
      <c r="D1125" s="68" t="str">
        <f>IFERROR(INDEX(_Datos!D:D,MATCH(1118,_Datos!$I:$I,0)),"")</f>
        <v/>
      </c>
      <c r="E1125" s="69" t="str">
        <f>IFERROR(INDEX(_Datos!E:E,MATCH(1118,_Datos!$I:$I,0)),"")</f>
        <v/>
      </c>
      <c r="F1125" s="67" t="str">
        <f>IFERROR(INDEX(_Datos!F:F,MATCH(1118,_Datos!$I:$I,0)),"")</f>
        <v/>
      </c>
      <c r="G1125" s="67" t="str">
        <f>IFERROR(INDEX(_Datos!G:G,MATCH(1118,_Datos!$I:$I,0)),"")</f>
        <v/>
      </c>
      <c r="H1125" s="70" t="str">
        <f>IFERROR(INDEX(_Datos!H:H,MATCH(1118,_Datos!$I:$I,0)),"")</f>
        <v/>
      </c>
    </row>
    <row r="1126" spans="1:8" x14ac:dyDescent="0.2">
      <c r="A1126" s="63" t="str">
        <f>IFERROR(INDEX(_Datos!A:A,MATCH(1119,_Datos!$I:$I,0)),"")</f>
        <v/>
      </c>
      <c r="B1126" s="63" t="str">
        <f>IFERROR(INDEX(_Datos!B:B,MATCH(1119,_Datos!$I:$I,0)),"")</f>
        <v/>
      </c>
      <c r="C1126" s="63" t="str">
        <f>IFERROR(INDEX(_Datos!C:C,MATCH(1119,_Datos!$I:$I,0)),"")</f>
        <v/>
      </c>
      <c r="D1126" s="64" t="str">
        <f>IFERROR(INDEX(_Datos!D:D,MATCH(1119,_Datos!$I:$I,0)),"")</f>
        <v/>
      </c>
      <c r="E1126" s="65" t="str">
        <f>IFERROR(INDEX(_Datos!E:E,MATCH(1119,_Datos!$I:$I,0)),"")</f>
        <v/>
      </c>
      <c r="F1126" s="63" t="str">
        <f>IFERROR(INDEX(_Datos!F:F,MATCH(1119,_Datos!$I:$I,0)),"")</f>
        <v/>
      </c>
      <c r="G1126" s="63" t="str">
        <f>IFERROR(INDEX(_Datos!G:G,MATCH(1119,_Datos!$I:$I,0)),"")</f>
        <v/>
      </c>
      <c r="H1126" s="66" t="str">
        <f>IFERROR(INDEX(_Datos!H:H,MATCH(1119,_Datos!$I:$I,0)),"")</f>
        <v/>
      </c>
    </row>
    <row r="1127" spans="1:8" x14ac:dyDescent="0.2">
      <c r="A1127" s="67" t="str">
        <f>IFERROR(INDEX(_Datos!A:A,MATCH(1120,_Datos!$I:$I,0)),"")</f>
        <v/>
      </c>
      <c r="B1127" s="67" t="str">
        <f>IFERROR(INDEX(_Datos!B:B,MATCH(1120,_Datos!$I:$I,0)),"")</f>
        <v/>
      </c>
      <c r="C1127" s="67" t="str">
        <f>IFERROR(INDEX(_Datos!C:C,MATCH(1120,_Datos!$I:$I,0)),"")</f>
        <v/>
      </c>
      <c r="D1127" s="68" t="str">
        <f>IFERROR(INDEX(_Datos!D:D,MATCH(1120,_Datos!$I:$I,0)),"")</f>
        <v/>
      </c>
      <c r="E1127" s="69" t="str">
        <f>IFERROR(INDEX(_Datos!E:E,MATCH(1120,_Datos!$I:$I,0)),"")</f>
        <v/>
      </c>
      <c r="F1127" s="67" t="str">
        <f>IFERROR(INDEX(_Datos!F:F,MATCH(1120,_Datos!$I:$I,0)),"")</f>
        <v/>
      </c>
      <c r="G1127" s="67" t="str">
        <f>IFERROR(INDEX(_Datos!G:G,MATCH(1120,_Datos!$I:$I,0)),"")</f>
        <v/>
      </c>
      <c r="H1127" s="70" t="str">
        <f>IFERROR(INDEX(_Datos!H:H,MATCH(1120,_Datos!$I:$I,0)),"")</f>
        <v/>
      </c>
    </row>
    <row r="1128" spans="1:8" x14ac:dyDescent="0.2">
      <c r="A1128" s="63" t="str">
        <f>IFERROR(INDEX(_Datos!A:A,MATCH(1121,_Datos!$I:$I,0)),"")</f>
        <v/>
      </c>
      <c r="B1128" s="63" t="str">
        <f>IFERROR(INDEX(_Datos!B:B,MATCH(1121,_Datos!$I:$I,0)),"")</f>
        <v/>
      </c>
      <c r="C1128" s="63" t="str">
        <f>IFERROR(INDEX(_Datos!C:C,MATCH(1121,_Datos!$I:$I,0)),"")</f>
        <v/>
      </c>
      <c r="D1128" s="64" t="str">
        <f>IFERROR(INDEX(_Datos!D:D,MATCH(1121,_Datos!$I:$I,0)),"")</f>
        <v/>
      </c>
      <c r="E1128" s="65" t="str">
        <f>IFERROR(INDEX(_Datos!E:E,MATCH(1121,_Datos!$I:$I,0)),"")</f>
        <v/>
      </c>
      <c r="F1128" s="63" t="str">
        <f>IFERROR(INDEX(_Datos!F:F,MATCH(1121,_Datos!$I:$I,0)),"")</f>
        <v/>
      </c>
      <c r="G1128" s="63" t="str">
        <f>IFERROR(INDEX(_Datos!G:G,MATCH(1121,_Datos!$I:$I,0)),"")</f>
        <v/>
      </c>
      <c r="H1128" s="66" t="str">
        <f>IFERROR(INDEX(_Datos!H:H,MATCH(1121,_Datos!$I:$I,0)),"")</f>
        <v/>
      </c>
    </row>
    <row r="1129" spans="1:8" x14ac:dyDescent="0.2">
      <c r="A1129" s="67" t="str">
        <f>IFERROR(INDEX(_Datos!A:A,MATCH(1122,_Datos!$I:$I,0)),"")</f>
        <v/>
      </c>
      <c r="B1129" s="67" t="str">
        <f>IFERROR(INDEX(_Datos!B:B,MATCH(1122,_Datos!$I:$I,0)),"")</f>
        <v/>
      </c>
      <c r="C1129" s="67" t="str">
        <f>IFERROR(INDEX(_Datos!C:C,MATCH(1122,_Datos!$I:$I,0)),"")</f>
        <v/>
      </c>
      <c r="D1129" s="68" t="str">
        <f>IFERROR(INDEX(_Datos!D:D,MATCH(1122,_Datos!$I:$I,0)),"")</f>
        <v/>
      </c>
      <c r="E1129" s="69" t="str">
        <f>IFERROR(INDEX(_Datos!E:E,MATCH(1122,_Datos!$I:$I,0)),"")</f>
        <v/>
      </c>
      <c r="F1129" s="67" t="str">
        <f>IFERROR(INDEX(_Datos!F:F,MATCH(1122,_Datos!$I:$I,0)),"")</f>
        <v/>
      </c>
      <c r="G1129" s="67" t="str">
        <f>IFERROR(INDEX(_Datos!G:G,MATCH(1122,_Datos!$I:$I,0)),"")</f>
        <v/>
      </c>
      <c r="H1129" s="70" t="str">
        <f>IFERROR(INDEX(_Datos!H:H,MATCH(1122,_Datos!$I:$I,0)),"")</f>
        <v/>
      </c>
    </row>
    <row r="1130" spans="1:8" x14ac:dyDescent="0.2">
      <c r="A1130" s="63" t="str">
        <f>IFERROR(INDEX(_Datos!A:A,MATCH(1123,_Datos!$I:$I,0)),"")</f>
        <v/>
      </c>
      <c r="B1130" s="63" t="str">
        <f>IFERROR(INDEX(_Datos!B:B,MATCH(1123,_Datos!$I:$I,0)),"")</f>
        <v/>
      </c>
      <c r="C1130" s="63" t="str">
        <f>IFERROR(INDEX(_Datos!C:C,MATCH(1123,_Datos!$I:$I,0)),"")</f>
        <v/>
      </c>
      <c r="D1130" s="64" t="str">
        <f>IFERROR(INDEX(_Datos!D:D,MATCH(1123,_Datos!$I:$I,0)),"")</f>
        <v/>
      </c>
      <c r="E1130" s="65" t="str">
        <f>IFERROR(INDEX(_Datos!E:E,MATCH(1123,_Datos!$I:$I,0)),"")</f>
        <v/>
      </c>
      <c r="F1130" s="63" t="str">
        <f>IFERROR(INDEX(_Datos!F:F,MATCH(1123,_Datos!$I:$I,0)),"")</f>
        <v/>
      </c>
      <c r="G1130" s="63" t="str">
        <f>IFERROR(INDEX(_Datos!G:G,MATCH(1123,_Datos!$I:$I,0)),"")</f>
        <v/>
      </c>
      <c r="H1130" s="66" t="str">
        <f>IFERROR(INDEX(_Datos!H:H,MATCH(1123,_Datos!$I:$I,0)),"")</f>
        <v/>
      </c>
    </row>
    <row r="1131" spans="1:8" x14ac:dyDescent="0.2">
      <c r="A1131" s="67" t="str">
        <f>IFERROR(INDEX(_Datos!A:A,MATCH(1124,_Datos!$I:$I,0)),"")</f>
        <v/>
      </c>
      <c r="B1131" s="67" t="str">
        <f>IFERROR(INDEX(_Datos!B:B,MATCH(1124,_Datos!$I:$I,0)),"")</f>
        <v/>
      </c>
      <c r="C1131" s="67" t="str">
        <f>IFERROR(INDEX(_Datos!C:C,MATCH(1124,_Datos!$I:$I,0)),"")</f>
        <v/>
      </c>
      <c r="D1131" s="68" t="str">
        <f>IFERROR(INDEX(_Datos!D:D,MATCH(1124,_Datos!$I:$I,0)),"")</f>
        <v/>
      </c>
      <c r="E1131" s="69" t="str">
        <f>IFERROR(INDEX(_Datos!E:E,MATCH(1124,_Datos!$I:$I,0)),"")</f>
        <v/>
      </c>
      <c r="F1131" s="67" t="str">
        <f>IFERROR(INDEX(_Datos!F:F,MATCH(1124,_Datos!$I:$I,0)),"")</f>
        <v/>
      </c>
      <c r="G1131" s="67" t="str">
        <f>IFERROR(INDEX(_Datos!G:G,MATCH(1124,_Datos!$I:$I,0)),"")</f>
        <v/>
      </c>
      <c r="H1131" s="70" t="str">
        <f>IFERROR(INDEX(_Datos!H:H,MATCH(1124,_Datos!$I:$I,0)),"")</f>
        <v/>
      </c>
    </row>
    <row r="1132" spans="1:8" x14ac:dyDescent="0.2">
      <c r="A1132" s="63" t="str">
        <f>IFERROR(INDEX(_Datos!A:A,MATCH(1125,_Datos!$I:$I,0)),"")</f>
        <v/>
      </c>
      <c r="B1132" s="63" t="str">
        <f>IFERROR(INDEX(_Datos!B:B,MATCH(1125,_Datos!$I:$I,0)),"")</f>
        <v/>
      </c>
      <c r="C1132" s="63" t="str">
        <f>IFERROR(INDEX(_Datos!C:C,MATCH(1125,_Datos!$I:$I,0)),"")</f>
        <v/>
      </c>
      <c r="D1132" s="64" t="str">
        <f>IFERROR(INDEX(_Datos!D:D,MATCH(1125,_Datos!$I:$I,0)),"")</f>
        <v/>
      </c>
      <c r="E1132" s="65" t="str">
        <f>IFERROR(INDEX(_Datos!E:E,MATCH(1125,_Datos!$I:$I,0)),"")</f>
        <v/>
      </c>
      <c r="F1132" s="63" t="str">
        <f>IFERROR(INDEX(_Datos!F:F,MATCH(1125,_Datos!$I:$I,0)),"")</f>
        <v/>
      </c>
      <c r="G1132" s="63" t="str">
        <f>IFERROR(INDEX(_Datos!G:G,MATCH(1125,_Datos!$I:$I,0)),"")</f>
        <v/>
      </c>
      <c r="H1132" s="66" t="str">
        <f>IFERROR(INDEX(_Datos!H:H,MATCH(1125,_Datos!$I:$I,0)),"")</f>
        <v/>
      </c>
    </row>
    <row r="1133" spans="1:8" x14ac:dyDescent="0.2">
      <c r="A1133" s="67" t="str">
        <f>IFERROR(INDEX(_Datos!A:A,MATCH(1126,_Datos!$I:$I,0)),"")</f>
        <v/>
      </c>
      <c r="B1133" s="67" t="str">
        <f>IFERROR(INDEX(_Datos!B:B,MATCH(1126,_Datos!$I:$I,0)),"")</f>
        <v/>
      </c>
      <c r="C1133" s="67" t="str">
        <f>IFERROR(INDEX(_Datos!C:C,MATCH(1126,_Datos!$I:$I,0)),"")</f>
        <v/>
      </c>
      <c r="D1133" s="68" t="str">
        <f>IFERROR(INDEX(_Datos!D:D,MATCH(1126,_Datos!$I:$I,0)),"")</f>
        <v/>
      </c>
      <c r="E1133" s="69" t="str">
        <f>IFERROR(INDEX(_Datos!E:E,MATCH(1126,_Datos!$I:$I,0)),"")</f>
        <v/>
      </c>
      <c r="F1133" s="67" t="str">
        <f>IFERROR(INDEX(_Datos!F:F,MATCH(1126,_Datos!$I:$I,0)),"")</f>
        <v/>
      </c>
      <c r="G1133" s="67" t="str">
        <f>IFERROR(INDEX(_Datos!G:G,MATCH(1126,_Datos!$I:$I,0)),"")</f>
        <v/>
      </c>
      <c r="H1133" s="70" t="str">
        <f>IFERROR(INDEX(_Datos!H:H,MATCH(1126,_Datos!$I:$I,0)),"")</f>
        <v/>
      </c>
    </row>
    <row r="1134" spans="1:8" x14ac:dyDescent="0.2">
      <c r="A1134" s="63" t="str">
        <f>IFERROR(INDEX(_Datos!A:A,MATCH(1127,_Datos!$I:$I,0)),"")</f>
        <v/>
      </c>
      <c r="B1134" s="63" t="str">
        <f>IFERROR(INDEX(_Datos!B:B,MATCH(1127,_Datos!$I:$I,0)),"")</f>
        <v/>
      </c>
      <c r="C1134" s="63" t="str">
        <f>IFERROR(INDEX(_Datos!C:C,MATCH(1127,_Datos!$I:$I,0)),"")</f>
        <v/>
      </c>
      <c r="D1134" s="64" t="str">
        <f>IFERROR(INDEX(_Datos!D:D,MATCH(1127,_Datos!$I:$I,0)),"")</f>
        <v/>
      </c>
      <c r="E1134" s="65" t="str">
        <f>IFERROR(INDEX(_Datos!E:E,MATCH(1127,_Datos!$I:$I,0)),"")</f>
        <v/>
      </c>
      <c r="F1134" s="63" t="str">
        <f>IFERROR(INDEX(_Datos!F:F,MATCH(1127,_Datos!$I:$I,0)),"")</f>
        <v/>
      </c>
      <c r="G1134" s="63" t="str">
        <f>IFERROR(INDEX(_Datos!G:G,MATCH(1127,_Datos!$I:$I,0)),"")</f>
        <v/>
      </c>
      <c r="H1134" s="66" t="str">
        <f>IFERROR(INDEX(_Datos!H:H,MATCH(1127,_Datos!$I:$I,0)),"")</f>
        <v/>
      </c>
    </row>
    <row r="1135" spans="1:8" x14ac:dyDescent="0.2">
      <c r="A1135" s="67" t="str">
        <f>IFERROR(INDEX(_Datos!A:A,MATCH(1128,_Datos!$I:$I,0)),"")</f>
        <v/>
      </c>
      <c r="B1135" s="67" t="str">
        <f>IFERROR(INDEX(_Datos!B:B,MATCH(1128,_Datos!$I:$I,0)),"")</f>
        <v/>
      </c>
      <c r="C1135" s="67" t="str">
        <f>IFERROR(INDEX(_Datos!C:C,MATCH(1128,_Datos!$I:$I,0)),"")</f>
        <v/>
      </c>
      <c r="D1135" s="68" t="str">
        <f>IFERROR(INDEX(_Datos!D:D,MATCH(1128,_Datos!$I:$I,0)),"")</f>
        <v/>
      </c>
      <c r="E1135" s="69" t="str">
        <f>IFERROR(INDEX(_Datos!E:E,MATCH(1128,_Datos!$I:$I,0)),"")</f>
        <v/>
      </c>
      <c r="F1135" s="67" t="str">
        <f>IFERROR(INDEX(_Datos!F:F,MATCH(1128,_Datos!$I:$I,0)),"")</f>
        <v/>
      </c>
      <c r="G1135" s="67" t="str">
        <f>IFERROR(INDEX(_Datos!G:G,MATCH(1128,_Datos!$I:$I,0)),"")</f>
        <v/>
      </c>
      <c r="H1135" s="70" t="str">
        <f>IFERROR(INDEX(_Datos!H:H,MATCH(1128,_Datos!$I:$I,0)),"")</f>
        <v/>
      </c>
    </row>
    <row r="1136" spans="1:8" x14ac:dyDescent="0.2">
      <c r="A1136" s="63" t="str">
        <f>IFERROR(INDEX(_Datos!A:A,MATCH(1129,_Datos!$I:$I,0)),"")</f>
        <v/>
      </c>
      <c r="B1136" s="63" t="str">
        <f>IFERROR(INDEX(_Datos!B:B,MATCH(1129,_Datos!$I:$I,0)),"")</f>
        <v/>
      </c>
      <c r="C1136" s="63" t="str">
        <f>IFERROR(INDEX(_Datos!C:C,MATCH(1129,_Datos!$I:$I,0)),"")</f>
        <v/>
      </c>
      <c r="D1136" s="64" t="str">
        <f>IFERROR(INDEX(_Datos!D:D,MATCH(1129,_Datos!$I:$I,0)),"")</f>
        <v/>
      </c>
      <c r="E1136" s="65" t="str">
        <f>IFERROR(INDEX(_Datos!E:E,MATCH(1129,_Datos!$I:$I,0)),"")</f>
        <v/>
      </c>
      <c r="F1136" s="63" t="str">
        <f>IFERROR(INDEX(_Datos!F:F,MATCH(1129,_Datos!$I:$I,0)),"")</f>
        <v/>
      </c>
      <c r="G1136" s="63" t="str">
        <f>IFERROR(INDEX(_Datos!G:G,MATCH(1129,_Datos!$I:$I,0)),"")</f>
        <v/>
      </c>
      <c r="H1136" s="66" t="str">
        <f>IFERROR(INDEX(_Datos!H:H,MATCH(1129,_Datos!$I:$I,0)),"")</f>
        <v/>
      </c>
    </row>
    <row r="1137" spans="1:8" x14ac:dyDescent="0.2">
      <c r="A1137" s="67" t="str">
        <f>IFERROR(INDEX(_Datos!A:A,MATCH(1130,_Datos!$I:$I,0)),"")</f>
        <v/>
      </c>
      <c r="B1137" s="67" t="str">
        <f>IFERROR(INDEX(_Datos!B:B,MATCH(1130,_Datos!$I:$I,0)),"")</f>
        <v/>
      </c>
      <c r="C1137" s="67" t="str">
        <f>IFERROR(INDEX(_Datos!C:C,MATCH(1130,_Datos!$I:$I,0)),"")</f>
        <v/>
      </c>
      <c r="D1137" s="68" t="str">
        <f>IFERROR(INDEX(_Datos!D:D,MATCH(1130,_Datos!$I:$I,0)),"")</f>
        <v/>
      </c>
      <c r="E1137" s="69" t="str">
        <f>IFERROR(INDEX(_Datos!E:E,MATCH(1130,_Datos!$I:$I,0)),"")</f>
        <v/>
      </c>
      <c r="F1137" s="67" t="str">
        <f>IFERROR(INDEX(_Datos!F:F,MATCH(1130,_Datos!$I:$I,0)),"")</f>
        <v/>
      </c>
      <c r="G1137" s="67" t="str">
        <f>IFERROR(INDEX(_Datos!G:G,MATCH(1130,_Datos!$I:$I,0)),"")</f>
        <v/>
      </c>
      <c r="H1137" s="70" t="str">
        <f>IFERROR(INDEX(_Datos!H:H,MATCH(1130,_Datos!$I:$I,0)),"")</f>
        <v/>
      </c>
    </row>
    <row r="1138" spans="1:8" x14ac:dyDescent="0.2">
      <c r="A1138" s="63" t="str">
        <f>IFERROR(INDEX(_Datos!A:A,MATCH(1131,_Datos!$I:$I,0)),"")</f>
        <v/>
      </c>
      <c r="B1138" s="63" t="str">
        <f>IFERROR(INDEX(_Datos!B:B,MATCH(1131,_Datos!$I:$I,0)),"")</f>
        <v/>
      </c>
      <c r="C1138" s="63" t="str">
        <f>IFERROR(INDEX(_Datos!C:C,MATCH(1131,_Datos!$I:$I,0)),"")</f>
        <v/>
      </c>
      <c r="D1138" s="64" t="str">
        <f>IFERROR(INDEX(_Datos!D:D,MATCH(1131,_Datos!$I:$I,0)),"")</f>
        <v/>
      </c>
      <c r="E1138" s="65" t="str">
        <f>IFERROR(INDEX(_Datos!E:E,MATCH(1131,_Datos!$I:$I,0)),"")</f>
        <v/>
      </c>
      <c r="F1138" s="63" t="str">
        <f>IFERROR(INDEX(_Datos!F:F,MATCH(1131,_Datos!$I:$I,0)),"")</f>
        <v/>
      </c>
      <c r="G1138" s="63" t="str">
        <f>IFERROR(INDEX(_Datos!G:G,MATCH(1131,_Datos!$I:$I,0)),"")</f>
        <v/>
      </c>
      <c r="H1138" s="66" t="str">
        <f>IFERROR(INDEX(_Datos!H:H,MATCH(1131,_Datos!$I:$I,0)),"")</f>
        <v/>
      </c>
    </row>
    <row r="1139" spans="1:8" x14ac:dyDescent="0.2">
      <c r="A1139" s="67" t="str">
        <f>IFERROR(INDEX(_Datos!A:A,MATCH(1132,_Datos!$I:$I,0)),"")</f>
        <v/>
      </c>
      <c r="B1139" s="67" t="str">
        <f>IFERROR(INDEX(_Datos!B:B,MATCH(1132,_Datos!$I:$I,0)),"")</f>
        <v/>
      </c>
      <c r="C1139" s="67" t="str">
        <f>IFERROR(INDEX(_Datos!C:C,MATCH(1132,_Datos!$I:$I,0)),"")</f>
        <v/>
      </c>
      <c r="D1139" s="68" t="str">
        <f>IFERROR(INDEX(_Datos!D:D,MATCH(1132,_Datos!$I:$I,0)),"")</f>
        <v/>
      </c>
      <c r="E1139" s="69" t="str">
        <f>IFERROR(INDEX(_Datos!E:E,MATCH(1132,_Datos!$I:$I,0)),"")</f>
        <v/>
      </c>
      <c r="F1139" s="67" t="str">
        <f>IFERROR(INDEX(_Datos!F:F,MATCH(1132,_Datos!$I:$I,0)),"")</f>
        <v/>
      </c>
      <c r="G1139" s="67" t="str">
        <f>IFERROR(INDEX(_Datos!G:G,MATCH(1132,_Datos!$I:$I,0)),"")</f>
        <v/>
      </c>
      <c r="H1139" s="70" t="str">
        <f>IFERROR(INDEX(_Datos!H:H,MATCH(1132,_Datos!$I:$I,0)),"")</f>
        <v/>
      </c>
    </row>
    <row r="1140" spans="1:8" x14ac:dyDescent="0.2">
      <c r="A1140" s="63" t="str">
        <f>IFERROR(INDEX(_Datos!A:A,MATCH(1133,_Datos!$I:$I,0)),"")</f>
        <v/>
      </c>
      <c r="B1140" s="63" t="str">
        <f>IFERROR(INDEX(_Datos!B:B,MATCH(1133,_Datos!$I:$I,0)),"")</f>
        <v/>
      </c>
      <c r="C1140" s="63" t="str">
        <f>IFERROR(INDEX(_Datos!C:C,MATCH(1133,_Datos!$I:$I,0)),"")</f>
        <v/>
      </c>
      <c r="D1140" s="64" t="str">
        <f>IFERROR(INDEX(_Datos!D:D,MATCH(1133,_Datos!$I:$I,0)),"")</f>
        <v/>
      </c>
      <c r="E1140" s="65" t="str">
        <f>IFERROR(INDEX(_Datos!E:E,MATCH(1133,_Datos!$I:$I,0)),"")</f>
        <v/>
      </c>
      <c r="F1140" s="63" t="str">
        <f>IFERROR(INDEX(_Datos!F:F,MATCH(1133,_Datos!$I:$I,0)),"")</f>
        <v/>
      </c>
      <c r="G1140" s="63" t="str">
        <f>IFERROR(INDEX(_Datos!G:G,MATCH(1133,_Datos!$I:$I,0)),"")</f>
        <v/>
      </c>
      <c r="H1140" s="66" t="str">
        <f>IFERROR(INDEX(_Datos!H:H,MATCH(1133,_Datos!$I:$I,0)),"")</f>
        <v/>
      </c>
    </row>
    <row r="1141" spans="1:8" x14ac:dyDescent="0.2">
      <c r="A1141" s="67" t="str">
        <f>IFERROR(INDEX(_Datos!A:A,MATCH(1134,_Datos!$I:$I,0)),"")</f>
        <v/>
      </c>
      <c r="B1141" s="67" t="str">
        <f>IFERROR(INDEX(_Datos!B:B,MATCH(1134,_Datos!$I:$I,0)),"")</f>
        <v/>
      </c>
      <c r="C1141" s="67" t="str">
        <f>IFERROR(INDEX(_Datos!C:C,MATCH(1134,_Datos!$I:$I,0)),"")</f>
        <v/>
      </c>
      <c r="D1141" s="68" t="str">
        <f>IFERROR(INDEX(_Datos!D:D,MATCH(1134,_Datos!$I:$I,0)),"")</f>
        <v/>
      </c>
      <c r="E1141" s="69" t="str">
        <f>IFERROR(INDEX(_Datos!E:E,MATCH(1134,_Datos!$I:$I,0)),"")</f>
        <v/>
      </c>
      <c r="F1141" s="67" t="str">
        <f>IFERROR(INDEX(_Datos!F:F,MATCH(1134,_Datos!$I:$I,0)),"")</f>
        <v/>
      </c>
      <c r="G1141" s="67" t="str">
        <f>IFERROR(INDEX(_Datos!G:G,MATCH(1134,_Datos!$I:$I,0)),"")</f>
        <v/>
      </c>
      <c r="H1141" s="70" t="str">
        <f>IFERROR(INDEX(_Datos!H:H,MATCH(1134,_Datos!$I:$I,0)),"")</f>
        <v/>
      </c>
    </row>
    <row r="1142" spans="1:8" x14ac:dyDescent="0.2">
      <c r="A1142" s="63" t="str">
        <f>IFERROR(INDEX(_Datos!A:A,MATCH(1135,_Datos!$I:$I,0)),"")</f>
        <v/>
      </c>
      <c r="B1142" s="63" t="str">
        <f>IFERROR(INDEX(_Datos!B:B,MATCH(1135,_Datos!$I:$I,0)),"")</f>
        <v/>
      </c>
      <c r="C1142" s="63" t="str">
        <f>IFERROR(INDEX(_Datos!C:C,MATCH(1135,_Datos!$I:$I,0)),"")</f>
        <v/>
      </c>
      <c r="D1142" s="64" t="str">
        <f>IFERROR(INDEX(_Datos!D:D,MATCH(1135,_Datos!$I:$I,0)),"")</f>
        <v/>
      </c>
      <c r="E1142" s="65" t="str">
        <f>IFERROR(INDEX(_Datos!E:E,MATCH(1135,_Datos!$I:$I,0)),"")</f>
        <v/>
      </c>
      <c r="F1142" s="63" t="str">
        <f>IFERROR(INDEX(_Datos!F:F,MATCH(1135,_Datos!$I:$I,0)),"")</f>
        <v/>
      </c>
      <c r="G1142" s="63" t="str">
        <f>IFERROR(INDEX(_Datos!G:G,MATCH(1135,_Datos!$I:$I,0)),"")</f>
        <v/>
      </c>
      <c r="H1142" s="66" t="str">
        <f>IFERROR(INDEX(_Datos!H:H,MATCH(1135,_Datos!$I:$I,0)),"")</f>
        <v/>
      </c>
    </row>
    <row r="1143" spans="1:8" x14ac:dyDescent="0.2">
      <c r="A1143" s="67" t="str">
        <f>IFERROR(INDEX(_Datos!A:A,MATCH(1136,_Datos!$I:$I,0)),"")</f>
        <v/>
      </c>
      <c r="B1143" s="67" t="str">
        <f>IFERROR(INDEX(_Datos!B:B,MATCH(1136,_Datos!$I:$I,0)),"")</f>
        <v/>
      </c>
      <c r="C1143" s="67" t="str">
        <f>IFERROR(INDEX(_Datos!C:C,MATCH(1136,_Datos!$I:$I,0)),"")</f>
        <v/>
      </c>
      <c r="D1143" s="68" t="str">
        <f>IFERROR(INDEX(_Datos!D:D,MATCH(1136,_Datos!$I:$I,0)),"")</f>
        <v/>
      </c>
      <c r="E1143" s="69" t="str">
        <f>IFERROR(INDEX(_Datos!E:E,MATCH(1136,_Datos!$I:$I,0)),"")</f>
        <v/>
      </c>
      <c r="F1143" s="67" t="str">
        <f>IFERROR(INDEX(_Datos!F:F,MATCH(1136,_Datos!$I:$I,0)),"")</f>
        <v/>
      </c>
      <c r="G1143" s="67" t="str">
        <f>IFERROR(INDEX(_Datos!G:G,MATCH(1136,_Datos!$I:$I,0)),"")</f>
        <v/>
      </c>
      <c r="H1143" s="70" t="str">
        <f>IFERROR(INDEX(_Datos!H:H,MATCH(1136,_Datos!$I:$I,0)),"")</f>
        <v/>
      </c>
    </row>
    <row r="1144" spans="1:8" x14ac:dyDescent="0.2">
      <c r="A1144" s="63" t="str">
        <f>IFERROR(INDEX(_Datos!A:A,MATCH(1137,_Datos!$I:$I,0)),"")</f>
        <v/>
      </c>
      <c r="B1144" s="63" t="str">
        <f>IFERROR(INDEX(_Datos!B:B,MATCH(1137,_Datos!$I:$I,0)),"")</f>
        <v/>
      </c>
      <c r="C1144" s="63" t="str">
        <f>IFERROR(INDEX(_Datos!C:C,MATCH(1137,_Datos!$I:$I,0)),"")</f>
        <v/>
      </c>
      <c r="D1144" s="64" t="str">
        <f>IFERROR(INDEX(_Datos!D:D,MATCH(1137,_Datos!$I:$I,0)),"")</f>
        <v/>
      </c>
      <c r="E1144" s="65" t="str">
        <f>IFERROR(INDEX(_Datos!E:E,MATCH(1137,_Datos!$I:$I,0)),"")</f>
        <v/>
      </c>
      <c r="F1144" s="63" t="str">
        <f>IFERROR(INDEX(_Datos!F:F,MATCH(1137,_Datos!$I:$I,0)),"")</f>
        <v/>
      </c>
      <c r="G1144" s="63" t="str">
        <f>IFERROR(INDEX(_Datos!G:G,MATCH(1137,_Datos!$I:$I,0)),"")</f>
        <v/>
      </c>
      <c r="H1144" s="66" t="str">
        <f>IFERROR(INDEX(_Datos!H:H,MATCH(1137,_Datos!$I:$I,0)),"")</f>
        <v/>
      </c>
    </row>
    <row r="1145" spans="1:8" x14ac:dyDescent="0.2">
      <c r="A1145" s="67" t="str">
        <f>IFERROR(INDEX(_Datos!A:A,MATCH(1138,_Datos!$I:$I,0)),"")</f>
        <v/>
      </c>
      <c r="B1145" s="67" t="str">
        <f>IFERROR(INDEX(_Datos!B:B,MATCH(1138,_Datos!$I:$I,0)),"")</f>
        <v/>
      </c>
      <c r="C1145" s="67" t="str">
        <f>IFERROR(INDEX(_Datos!C:C,MATCH(1138,_Datos!$I:$I,0)),"")</f>
        <v/>
      </c>
      <c r="D1145" s="68" t="str">
        <f>IFERROR(INDEX(_Datos!D:D,MATCH(1138,_Datos!$I:$I,0)),"")</f>
        <v/>
      </c>
      <c r="E1145" s="69" t="str">
        <f>IFERROR(INDEX(_Datos!E:E,MATCH(1138,_Datos!$I:$I,0)),"")</f>
        <v/>
      </c>
      <c r="F1145" s="67" t="str">
        <f>IFERROR(INDEX(_Datos!F:F,MATCH(1138,_Datos!$I:$I,0)),"")</f>
        <v/>
      </c>
      <c r="G1145" s="67" t="str">
        <f>IFERROR(INDEX(_Datos!G:G,MATCH(1138,_Datos!$I:$I,0)),"")</f>
        <v/>
      </c>
      <c r="H1145" s="70" t="str">
        <f>IFERROR(INDEX(_Datos!H:H,MATCH(1138,_Datos!$I:$I,0)),"")</f>
        <v/>
      </c>
    </row>
    <row r="1146" spans="1:8" x14ac:dyDescent="0.2">
      <c r="A1146" s="63" t="str">
        <f>IFERROR(INDEX(_Datos!A:A,MATCH(1139,_Datos!$I:$I,0)),"")</f>
        <v/>
      </c>
      <c r="B1146" s="63" t="str">
        <f>IFERROR(INDEX(_Datos!B:B,MATCH(1139,_Datos!$I:$I,0)),"")</f>
        <v/>
      </c>
      <c r="C1146" s="63" t="str">
        <f>IFERROR(INDEX(_Datos!C:C,MATCH(1139,_Datos!$I:$I,0)),"")</f>
        <v/>
      </c>
      <c r="D1146" s="64" t="str">
        <f>IFERROR(INDEX(_Datos!D:D,MATCH(1139,_Datos!$I:$I,0)),"")</f>
        <v/>
      </c>
      <c r="E1146" s="65" t="str">
        <f>IFERROR(INDEX(_Datos!E:E,MATCH(1139,_Datos!$I:$I,0)),"")</f>
        <v/>
      </c>
      <c r="F1146" s="63" t="str">
        <f>IFERROR(INDEX(_Datos!F:F,MATCH(1139,_Datos!$I:$I,0)),"")</f>
        <v/>
      </c>
      <c r="G1146" s="63" t="str">
        <f>IFERROR(INDEX(_Datos!G:G,MATCH(1139,_Datos!$I:$I,0)),"")</f>
        <v/>
      </c>
      <c r="H1146" s="66" t="str">
        <f>IFERROR(INDEX(_Datos!H:H,MATCH(1139,_Datos!$I:$I,0)),"")</f>
        <v/>
      </c>
    </row>
    <row r="1147" spans="1:8" x14ac:dyDescent="0.2">
      <c r="A1147" s="67" t="str">
        <f>IFERROR(INDEX(_Datos!A:A,MATCH(1140,_Datos!$I:$I,0)),"")</f>
        <v/>
      </c>
      <c r="B1147" s="67" t="str">
        <f>IFERROR(INDEX(_Datos!B:B,MATCH(1140,_Datos!$I:$I,0)),"")</f>
        <v/>
      </c>
      <c r="C1147" s="67" t="str">
        <f>IFERROR(INDEX(_Datos!C:C,MATCH(1140,_Datos!$I:$I,0)),"")</f>
        <v/>
      </c>
      <c r="D1147" s="68" t="str">
        <f>IFERROR(INDEX(_Datos!D:D,MATCH(1140,_Datos!$I:$I,0)),"")</f>
        <v/>
      </c>
      <c r="E1147" s="69" t="str">
        <f>IFERROR(INDEX(_Datos!E:E,MATCH(1140,_Datos!$I:$I,0)),"")</f>
        <v/>
      </c>
      <c r="F1147" s="67" t="str">
        <f>IFERROR(INDEX(_Datos!F:F,MATCH(1140,_Datos!$I:$I,0)),"")</f>
        <v/>
      </c>
      <c r="G1147" s="67" t="str">
        <f>IFERROR(INDEX(_Datos!G:G,MATCH(1140,_Datos!$I:$I,0)),"")</f>
        <v/>
      </c>
      <c r="H1147" s="70" t="str">
        <f>IFERROR(INDEX(_Datos!H:H,MATCH(1140,_Datos!$I:$I,0)),"")</f>
        <v/>
      </c>
    </row>
    <row r="1148" spans="1:8" x14ac:dyDescent="0.2">
      <c r="A1148" s="63" t="str">
        <f>IFERROR(INDEX(_Datos!A:A,MATCH(1141,_Datos!$I:$I,0)),"")</f>
        <v/>
      </c>
      <c r="B1148" s="63" t="str">
        <f>IFERROR(INDEX(_Datos!B:B,MATCH(1141,_Datos!$I:$I,0)),"")</f>
        <v/>
      </c>
      <c r="C1148" s="63" t="str">
        <f>IFERROR(INDEX(_Datos!C:C,MATCH(1141,_Datos!$I:$I,0)),"")</f>
        <v/>
      </c>
      <c r="D1148" s="64" t="str">
        <f>IFERROR(INDEX(_Datos!D:D,MATCH(1141,_Datos!$I:$I,0)),"")</f>
        <v/>
      </c>
      <c r="E1148" s="65" t="str">
        <f>IFERROR(INDEX(_Datos!E:E,MATCH(1141,_Datos!$I:$I,0)),"")</f>
        <v/>
      </c>
      <c r="F1148" s="63" t="str">
        <f>IFERROR(INDEX(_Datos!F:F,MATCH(1141,_Datos!$I:$I,0)),"")</f>
        <v/>
      </c>
      <c r="G1148" s="63" t="str">
        <f>IFERROR(INDEX(_Datos!G:G,MATCH(1141,_Datos!$I:$I,0)),"")</f>
        <v/>
      </c>
      <c r="H1148" s="66" t="str">
        <f>IFERROR(INDEX(_Datos!H:H,MATCH(1141,_Datos!$I:$I,0)),"")</f>
        <v/>
      </c>
    </row>
    <row r="1149" spans="1:8" x14ac:dyDescent="0.2">
      <c r="A1149" s="67" t="str">
        <f>IFERROR(INDEX(_Datos!A:A,MATCH(1142,_Datos!$I:$I,0)),"")</f>
        <v/>
      </c>
      <c r="B1149" s="67" t="str">
        <f>IFERROR(INDEX(_Datos!B:B,MATCH(1142,_Datos!$I:$I,0)),"")</f>
        <v/>
      </c>
      <c r="C1149" s="67" t="str">
        <f>IFERROR(INDEX(_Datos!C:C,MATCH(1142,_Datos!$I:$I,0)),"")</f>
        <v/>
      </c>
      <c r="D1149" s="68" t="str">
        <f>IFERROR(INDEX(_Datos!D:D,MATCH(1142,_Datos!$I:$I,0)),"")</f>
        <v/>
      </c>
      <c r="E1149" s="69" t="str">
        <f>IFERROR(INDEX(_Datos!E:E,MATCH(1142,_Datos!$I:$I,0)),"")</f>
        <v/>
      </c>
      <c r="F1149" s="67" t="str">
        <f>IFERROR(INDEX(_Datos!F:F,MATCH(1142,_Datos!$I:$I,0)),"")</f>
        <v/>
      </c>
      <c r="G1149" s="67" t="str">
        <f>IFERROR(INDEX(_Datos!G:G,MATCH(1142,_Datos!$I:$I,0)),"")</f>
        <v/>
      </c>
      <c r="H1149" s="70" t="str">
        <f>IFERROR(INDEX(_Datos!H:H,MATCH(1142,_Datos!$I:$I,0)),"")</f>
        <v/>
      </c>
    </row>
    <row r="1150" spans="1:8" x14ac:dyDescent="0.2">
      <c r="A1150" s="63" t="str">
        <f>IFERROR(INDEX(_Datos!A:A,MATCH(1143,_Datos!$I:$I,0)),"")</f>
        <v/>
      </c>
      <c r="B1150" s="63" t="str">
        <f>IFERROR(INDEX(_Datos!B:B,MATCH(1143,_Datos!$I:$I,0)),"")</f>
        <v/>
      </c>
      <c r="C1150" s="63" t="str">
        <f>IFERROR(INDEX(_Datos!C:C,MATCH(1143,_Datos!$I:$I,0)),"")</f>
        <v/>
      </c>
      <c r="D1150" s="64" t="str">
        <f>IFERROR(INDEX(_Datos!D:D,MATCH(1143,_Datos!$I:$I,0)),"")</f>
        <v/>
      </c>
      <c r="E1150" s="65" t="str">
        <f>IFERROR(INDEX(_Datos!E:E,MATCH(1143,_Datos!$I:$I,0)),"")</f>
        <v/>
      </c>
      <c r="F1150" s="63" t="str">
        <f>IFERROR(INDEX(_Datos!F:F,MATCH(1143,_Datos!$I:$I,0)),"")</f>
        <v/>
      </c>
      <c r="G1150" s="63" t="str">
        <f>IFERROR(INDEX(_Datos!G:G,MATCH(1143,_Datos!$I:$I,0)),"")</f>
        <v/>
      </c>
      <c r="H1150" s="66" t="str">
        <f>IFERROR(INDEX(_Datos!H:H,MATCH(1143,_Datos!$I:$I,0)),"")</f>
        <v/>
      </c>
    </row>
    <row r="1151" spans="1:8" x14ac:dyDescent="0.2">
      <c r="A1151" s="67" t="str">
        <f>IFERROR(INDEX(_Datos!A:A,MATCH(1144,_Datos!$I:$I,0)),"")</f>
        <v/>
      </c>
      <c r="B1151" s="67" t="str">
        <f>IFERROR(INDEX(_Datos!B:B,MATCH(1144,_Datos!$I:$I,0)),"")</f>
        <v/>
      </c>
      <c r="C1151" s="67" t="str">
        <f>IFERROR(INDEX(_Datos!C:C,MATCH(1144,_Datos!$I:$I,0)),"")</f>
        <v/>
      </c>
      <c r="D1151" s="68" t="str">
        <f>IFERROR(INDEX(_Datos!D:D,MATCH(1144,_Datos!$I:$I,0)),"")</f>
        <v/>
      </c>
      <c r="E1151" s="69" t="str">
        <f>IFERROR(INDEX(_Datos!E:E,MATCH(1144,_Datos!$I:$I,0)),"")</f>
        <v/>
      </c>
      <c r="F1151" s="67" t="str">
        <f>IFERROR(INDEX(_Datos!F:F,MATCH(1144,_Datos!$I:$I,0)),"")</f>
        <v/>
      </c>
      <c r="G1151" s="67" t="str">
        <f>IFERROR(INDEX(_Datos!G:G,MATCH(1144,_Datos!$I:$I,0)),"")</f>
        <v/>
      </c>
      <c r="H1151" s="70" t="str">
        <f>IFERROR(INDEX(_Datos!H:H,MATCH(1144,_Datos!$I:$I,0)),"")</f>
        <v/>
      </c>
    </row>
    <row r="1152" spans="1:8" x14ac:dyDescent="0.2">
      <c r="A1152" s="63" t="str">
        <f>IFERROR(INDEX(_Datos!A:A,MATCH(1145,_Datos!$I:$I,0)),"")</f>
        <v/>
      </c>
      <c r="B1152" s="63" t="str">
        <f>IFERROR(INDEX(_Datos!B:B,MATCH(1145,_Datos!$I:$I,0)),"")</f>
        <v/>
      </c>
      <c r="C1152" s="63" t="str">
        <f>IFERROR(INDEX(_Datos!C:C,MATCH(1145,_Datos!$I:$I,0)),"")</f>
        <v/>
      </c>
      <c r="D1152" s="64" t="str">
        <f>IFERROR(INDEX(_Datos!D:D,MATCH(1145,_Datos!$I:$I,0)),"")</f>
        <v/>
      </c>
      <c r="E1152" s="65" t="str">
        <f>IFERROR(INDEX(_Datos!E:E,MATCH(1145,_Datos!$I:$I,0)),"")</f>
        <v/>
      </c>
      <c r="F1152" s="63" t="str">
        <f>IFERROR(INDEX(_Datos!F:F,MATCH(1145,_Datos!$I:$I,0)),"")</f>
        <v/>
      </c>
      <c r="G1152" s="63" t="str">
        <f>IFERROR(INDEX(_Datos!G:G,MATCH(1145,_Datos!$I:$I,0)),"")</f>
        <v/>
      </c>
      <c r="H1152" s="66" t="str">
        <f>IFERROR(INDEX(_Datos!H:H,MATCH(1145,_Datos!$I:$I,0)),"")</f>
        <v/>
      </c>
    </row>
    <row r="1153" spans="1:8" x14ac:dyDescent="0.2">
      <c r="A1153" s="67" t="str">
        <f>IFERROR(INDEX(_Datos!A:A,MATCH(1146,_Datos!$I:$I,0)),"")</f>
        <v/>
      </c>
      <c r="B1153" s="67" t="str">
        <f>IFERROR(INDEX(_Datos!B:B,MATCH(1146,_Datos!$I:$I,0)),"")</f>
        <v/>
      </c>
      <c r="C1153" s="67" t="str">
        <f>IFERROR(INDEX(_Datos!C:C,MATCH(1146,_Datos!$I:$I,0)),"")</f>
        <v/>
      </c>
      <c r="D1153" s="68" t="str">
        <f>IFERROR(INDEX(_Datos!D:D,MATCH(1146,_Datos!$I:$I,0)),"")</f>
        <v/>
      </c>
      <c r="E1153" s="69" t="str">
        <f>IFERROR(INDEX(_Datos!E:E,MATCH(1146,_Datos!$I:$I,0)),"")</f>
        <v/>
      </c>
      <c r="F1153" s="67" t="str">
        <f>IFERROR(INDEX(_Datos!F:F,MATCH(1146,_Datos!$I:$I,0)),"")</f>
        <v/>
      </c>
      <c r="G1153" s="67" t="str">
        <f>IFERROR(INDEX(_Datos!G:G,MATCH(1146,_Datos!$I:$I,0)),"")</f>
        <v/>
      </c>
      <c r="H1153" s="70" t="str">
        <f>IFERROR(INDEX(_Datos!H:H,MATCH(1146,_Datos!$I:$I,0)),"")</f>
        <v/>
      </c>
    </row>
    <row r="1154" spans="1:8" x14ac:dyDescent="0.2">
      <c r="A1154" s="63" t="str">
        <f>IFERROR(INDEX(_Datos!A:A,MATCH(1147,_Datos!$I:$I,0)),"")</f>
        <v/>
      </c>
      <c r="B1154" s="63" t="str">
        <f>IFERROR(INDEX(_Datos!B:B,MATCH(1147,_Datos!$I:$I,0)),"")</f>
        <v/>
      </c>
      <c r="C1154" s="63" t="str">
        <f>IFERROR(INDEX(_Datos!C:C,MATCH(1147,_Datos!$I:$I,0)),"")</f>
        <v/>
      </c>
      <c r="D1154" s="64" t="str">
        <f>IFERROR(INDEX(_Datos!D:D,MATCH(1147,_Datos!$I:$I,0)),"")</f>
        <v/>
      </c>
      <c r="E1154" s="65" t="str">
        <f>IFERROR(INDEX(_Datos!E:E,MATCH(1147,_Datos!$I:$I,0)),"")</f>
        <v/>
      </c>
      <c r="F1154" s="63" t="str">
        <f>IFERROR(INDEX(_Datos!F:F,MATCH(1147,_Datos!$I:$I,0)),"")</f>
        <v/>
      </c>
      <c r="G1154" s="63" t="str">
        <f>IFERROR(INDEX(_Datos!G:G,MATCH(1147,_Datos!$I:$I,0)),"")</f>
        <v/>
      </c>
      <c r="H1154" s="66" t="str">
        <f>IFERROR(INDEX(_Datos!H:H,MATCH(1147,_Datos!$I:$I,0)),"")</f>
        <v/>
      </c>
    </row>
    <row r="1155" spans="1:8" x14ac:dyDescent="0.2">
      <c r="A1155" s="67" t="str">
        <f>IFERROR(INDEX(_Datos!A:A,MATCH(1148,_Datos!$I:$I,0)),"")</f>
        <v/>
      </c>
      <c r="B1155" s="67" t="str">
        <f>IFERROR(INDEX(_Datos!B:B,MATCH(1148,_Datos!$I:$I,0)),"")</f>
        <v/>
      </c>
      <c r="C1155" s="67" t="str">
        <f>IFERROR(INDEX(_Datos!C:C,MATCH(1148,_Datos!$I:$I,0)),"")</f>
        <v/>
      </c>
      <c r="D1155" s="68" t="str">
        <f>IFERROR(INDEX(_Datos!D:D,MATCH(1148,_Datos!$I:$I,0)),"")</f>
        <v/>
      </c>
      <c r="E1155" s="69" t="str">
        <f>IFERROR(INDEX(_Datos!E:E,MATCH(1148,_Datos!$I:$I,0)),"")</f>
        <v/>
      </c>
      <c r="F1155" s="67" t="str">
        <f>IFERROR(INDEX(_Datos!F:F,MATCH(1148,_Datos!$I:$I,0)),"")</f>
        <v/>
      </c>
      <c r="G1155" s="67" t="str">
        <f>IFERROR(INDEX(_Datos!G:G,MATCH(1148,_Datos!$I:$I,0)),"")</f>
        <v/>
      </c>
      <c r="H1155" s="70" t="str">
        <f>IFERROR(INDEX(_Datos!H:H,MATCH(1148,_Datos!$I:$I,0)),"")</f>
        <v/>
      </c>
    </row>
    <row r="1156" spans="1:8" x14ac:dyDescent="0.2">
      <c r="A1156" s="63" t="str">
        <f>IFERROR(INDEX(_Datos!A:A,MATCH(1149,_Datos!$I:$I,0)),"")</f>
        <v/>
      </c>
      <c r="B1156" s="63" t="str">
        <f>IFERROR(INDEX(_Datos!B:B,MATCH(1149,_Datos!$I:$I,0)),"")</f>
        <v/>
      </c>
      <c r="C1156" s="63" t="str">
        <f>IFERROR(INDEX(_Datos!C:C,MATCH(1149,_Datos!$I:$I,0)),"")</f>
        <v/>
      </c>
      <c r="D1156" s="64" t="str">
        <f>IFERROR(INDEX(_Datos!D:D,MATCH(1149,_Datos!$I:$I,0)),"")</f>
        <v/>
      </c>
      <c r="E1156" s="65" t="str">
        <f>IFERROR(INDEX(_Datos!E:E,MATCH(1149,_Datos!$I:$I,0)),"")</f>
        <v/>
      </c>
      <c r="F1156" s="63" t="str">
        <f>IFERROR(INDEX(_Datos!F:F,MATCH(1149,_Datos!$I:$I,0)),"")</f>
        <v/>
      </c>
      <c r="G1156" s="63" t="str">
        <f>IFERROR(INDEX(_Datos!G:G,MATCH(1149,_Datos!$I:$I,0)),"")</f>
        <v/>
      </c>
      <c r="H1156" s="66" t="str">
        <f>IFERROR(INDEX(_Datos!H:H,MATCH(1149,_Datos!$I:$I,0)),"")</f>
        <v/>
      </c>
    </row>
    <row r="1157" spans="1:8" x14ac:dyDescent="0.2">
      <c r="A1157" s="67" t="str">
        <f>IFERROR(INDEX(_Datos!A:A,MATCH(1150,_Datos!$I:$I,0)),"")</f>
        <v/>
      </c>
      <c r="B1157" s="67" t="str">
        <f>IFERROR(INDEX(_Datos!B:B,MATCH(1150,_Datos!$I:$I,0)),"")</f>
        <v/>
      </c>
      <c r="C1157" s="67" t="str">
        <f>IFERROR(INDEX(_Datos!C:C,MATCH(1150,_Datos!$I:$I,0)),"")</f>
        <v/>
      </c>
      <c r="D1157" s="68" t="str">
        <f>IFERROR(INDEX(_Datos!D:D,MATCH(1150,_Datos!$I:$I,0)),"")</f>
        <v/>
      </c>
      <c r="E1157" s="69" t="str">
        <f>IFERROR(INDEX(_Datos!E:E,MATCH(1150,_Datos!$I:$I,0)),"")</f>
        <v/>
      </c>
      <c r="F1157" s="67" t="str">
        <f>IFERROR(INDEX(_Datos!F:F,MATCH(1150,_Datos!$I:$I,0)),"")</f>
        <v/>
      </c>
      <c r="G1157" s="67" t="str">
        <f>IFERROR(INDEX(_Datos!G:G,MATCH(1150,_Datos!$I:$I,0)),"")</f>
        <v/>
      </c>
      <c r="H1157" s="70" t="str">
        <f>IFERROR(INDEX(_Datos!H:H,MATCH(1150,_Datos!$I:$I,0)),"")</f>
        <v/>
      </c>
    </row>
    <row r="1158" spans="1:8" x14ac:dyDescent="0.2">
      <c r="A1158" s="63" t="str">
        <f>IFERROR(INDEX(_Datos!A:A,MATCH(1151,_Datos!$I:$I,0)),"")</f>
        <v/>
      </c>
      <c r="B1158" s="63" t="str">
        <f>IFERROR(INDEX(_Datos!B:B,MATCH(1151,_Datos!$I:$I,0)),"")</f>
        <v/>
      </c>
      <c r="C1158" s="63" t="str">
        <f>IFERROR(INDEX(_Datos!C:C,MATCH(1151,_Datos!$I:$I,0)),"")</f>
        <v/>
      </c>
      <c r="D1158" s="64" t="str">
        <f>IFERROR(INDEX(_Datos!D:D,MATCH(1151,_Datos!$I:$I,0)),"")</f>
        <v/>
      </c>
      <c r="E1158" s="65" t="str">
        <f>IFERROR(INDEX(_Datos!E:E,MATCH(1151,_Datos!$I:$I,0)),"")</f>
        <v/>
      </c>
      <c r="F1158" s="63" t="str">
        <f>IFERROR(INDEX(_Datos!F:F,MATCH(1151,_Datos!$I:$I,0)),"")</f>
        <v/>
      </c>
      <c r="G1158" s="63" t="str">
        <f>IFERROR(INDEX(_Datos!G:G,MATCH(1151,_Datos!$I:$I,0)),"")</f>
        <v/>
      </c>
      <c r="H1158" s="66" t="str">
        <f>IFERROR(INDEX(_Datos!H:H,MATCH(1151,_Datos!$I:$I,0)),"")</f>
        <v/>
      </c>
    </row>
    <row r="1159" spans="1:8" x14ac:dyDescent="0.2">
      <c r="A1159" s="67" t="str">
        <f>IFERROR(INDEX(_Datos!A:A,MATCH(1152,_Datos!$I:$I,0)),"")</f>
        <v/>
      </c>
      <c r="B1159" s="67" t="str">
        <f>IFERROR(INDEX(_Datos!B:B,MATCH(1152,_Datos!$I:$I,0)),"")</f>
        <v/>
      </c>
      <c r="C1159" s="67" t="str">
        <f>IFERROR(INDEX(_Datos!C:C,MATCH(1152,_Datos!$I:$I,0)),"")</f>
        <v/>
      </c>
      <c r="D1159" s="68" t="str">
        <f>IFERROR(INDEX(_Datos!D:D,MATCH(1152,_Datos!$I:$I,0)),"")</f>
        <v/>
      </c>
      <c r="E1159" s="69" t="str">
        <f>IFERROR(INDEX(_Datos!E:E,MATCH(1152,_Datos!$I:$I,0)),"")</f>
        <v/>
      </c>
      <c r="F1159" s="67" t="str">
        <f>IFERROR(INDEX(_Datos!F:F,MATCH(1152,_Datos!$I:$I,0)),"")</f>
        <v/>
      </c>
      <c r="G1159" s="67" t="str">
        <f>IFERROR(INDEX(_Datos!G:G,MATCH(1152,_Datos!$I:$I,0)),"")</f>
        <v/>
      </c>
      <c r="H1159" s="70" t="str">
        <f>IFERROR(INDEX(_Datos!H:H,MATCH(1152,_Datos!$I:$I,0)),"")</f>
        <v/>
      </c>
    </row>
    <row r="1160" spans="1:8" x14ac:dyDescent="0.2">
      <c r="A1160" s="63" t="str">
        <f>IFERROR(INDEX(_Datos!A:A,MATCH(1153,_Datos!$I:$I,0)),"")</f>
        <v/>
      </c>
      <c r="B1160" s="63" t="str">
        <f>IFERROR(INDEX(_Datos!B:B,MATCH(1153,_Datos!$I:$I,0)),"")</f>
        <v/>
      </c>
      <c r="C1160" s="63" t="str">
        <f>IFERROR(INDEX(_Datos!C:C,MATCH(1153,_Datos!$I:$I,0)),"")</f>
        <v/>
      </c>
      <c r="D1160" s="64" t="str">
        <f>IFERROR(INDEX(_Datos!D:D,MATCH(1153,_Datos!$I:$I,0)),"")</f>
        <v/>
      </c>
      <c r="E1160" s="65" t="str">
        <f>IFERROR(INDEX(_Datos!E:E,MATCH(1153,_Datos!$I:$I,0)),"")</f>
        <v/>
      </c>
      <c r="F1160" s="63" t="str">
        <f>IFERROR(INDEX(_Datos!F:F,MATCH(1153,_Datos!$I:$I,0)),"")</f>
        <v/>
      </c>
      <c r="G1160" s="63" t="str">
        <f>IFERROR(INDEX(_Datos!G:G,MATCH(1153,_Datos!$I:$I,0)),"")</f>
        <v/>
      </c>
      <c r="H1160" s="66" t="str">
        <f>IFERROR(INDEX(_Datos!H:H,MATCH(1153,_Datos!$I:$I,0)),"")</f>
        <v/>
      </c>
    </row>
    <row r="1161" spans="1:8" x14ac:dyDescent="0.2">
      <c r="A1161" s="67" t="str">
        <f>IFERROR(INDEX(_Datos!A:A,MATCH(1154,_Datos!$I:$I,0)),"")</f>
        <v/>
      </c>
      <c r="B1161" s="67" t="str">
        <f>IFERROR(INDEX(_Datos!B:B,MATCH(1154,_Datos!$I:$I,0)),"")</f>
        <v/>
      </c>
      <c r="C1161" s="67" t="str">
        <f>IFERROR(INDEX(_Datos!C:C,MATCH(1154,_Datos!$I:$I,0)),"")</f>
        <v/>
      </c>
      <c r="D1161" s="68" t="str">
        <f>IFERROR(INDEX(_Datos!D:D,MATCH(1154,_Datos!$I:$I,0)),"")</f>
        <v/>
      </c>
      <c r="E1161" s="69" t="str">
        <f>IFERROR(INDEX(_Datos!E:E,MATCH(1154,_Datos!$I:$I,0)),"")</f>
        <v/>
      </c>
      <c r="F1161" s="67" t="str">
        <f>IFERROR(INDEX(_Datos!F:F,MATCH(1154,_Datos!$I:$I,0)),"")</f>
        <v/>
      </c>
      <c r="G1161" s="67" t="str">
        <f>IFERROR(INDEX(_Datos!G:G,MATCH(1154,_Datos!$I:$I,0)),"")</f>
        <v/>
      </c>
      <c r="H1161" s="70" t="str">
        <f>IFERROR(INDEX(_Datos!H:H,MATCH(1154,_Datos!$I:$I,0)),"")</f>
        <v/>
      </c>
    </row>
    <row r="1162" spans="1:8" x14ac:dyDescent="0.2">
      <c r="A1162" s="63" t="str">
        <f>IFERROR(INDEX(_Datos!A:A,MATCH(1155,_Datos!$I:$I,0)),"")</f>
        <v/>
      </c>
      <c r="B1162" s="63" t="str">
        <f>IFERROR(INDEX(_Datos!B:B,MATCH(1155,_Datos!$I:$I,0)),"")</f>
        <v/>
      </c>
      <c r="C1162" s="63" t="str">
        <f>IFERROR(INDEX(_Datos!C:C,MATCH(1155,_Datos!$I:$I,0)),"")</f>
        <v/>
      </c>
      <c r="D1162" s="64" t="str">
        <f>IFERROR(INDEX(_Datos!D:D,MATCH(1155,_Datos!$I:$I,0)),"")</f>
        <v/>
      </c>
      <c r="E1162" s="65" t="str">
        <f>IFERROR(INDEX(_Datos!E:E,MATCH(1155,_Datos!$I:$I,0)),"")</f>
        <v/>
      </c>
      <c r="F1162" s="63" t="str">
        <f>IFERROR(INDEX(_Datos!F:F,MATCH(1155,_Datos!$I:$I,0)),"")</f>
        <v/>
      </c>
      <c r="G1162" s="63" t="str">
        <f>IFERROR(INDEX(_Datos!G:G,MATCH(1155,_Datos!$I:$I,0)),"")</f>
        <v/>
      </c>
      <c r="H1162" s="66" t="str">
        <f>IFERROR(INDEX(_Datos!H:H,MATCH(1155,_Datos!$I:$I,0)),"")</f>
        <v/>
      </c>
    </row>
    <row r="1163" spans="1:8" x14ac:dyDescent="0.2">
      <c r="A1163" s="67" t="str">
        <f>IFERROR(INDEX(_Datos!A:A,MATCH(1156,_Datos!$I:$I,0)),"")</f>
        <v/>
      </c>
      <c r="B1163" s="67" t="str">
        <f>IFERROR(INDEX(_Datos!B:B,MATCH(1156,_Datos!$I:$I,0)),"")</f>
        <v/>
      </c>
      <c r="C1163" s="67" t="str">
        <f>IFERROR(INDEX(_Datos!C:C,MATCH(1156,_Datos!$I:$I,0)),"")</f>
        <v/>
      </c>
      <c r="D1163" s="68" t="str">
        <f>IFERROR(INDEX(_Datos!D:D,MATCH(1156,_Datos!$I:$I,0)),"")</f>
        <v/>
      </c>
      <c r="E1163" s="69" t="str">
        <f>IFERROR(INDEX(_Datos!E:E,MATCH(1156,_Datos!$I:$I,0)),"")</f>
        <v/>
      </c>
      <c r="F1163" s="67" t="str">
        <f>IFERROR(INDEX(_Datos!F:F,MATCH(1156,_Datos!$I:$I,0)),"")</f>
        <v/>
      </c>
      <c r="G1163" s="67" t="str">
        <f>IFERROR(INDEX(_Datos!G:G,MATCH(1156,_Datos!$I:$I,0)),"")</f>
        <v/>
      </c>
      <c r="H1163" s="70" t="str">
        <f>IFERROR(INDEX(_Datos!H:H,MATCH(1156,_Datos!$I:$I,0)),"")</f>
        <v/>
      </c>
    </row>
    <row r="1164" spans="1:8" x14ac:dyDescent="0.2">
      <c r="A1164" s="63" t="str">
        <f>IFERROR(INDEX(_Datos!A:A,MATCH(1157,_Datos!$I:$I,0)),"")</f>
        <v/>
      </c>
      <c r="B1164" s="63" t="str">
        <f>IFERROR(INDEX(_Datos!B:B,MATCH(1157,_Datos!$I:$I,0)),"")</f>
        <v/>
      </c>
      <c r="C1164" s="63" t="str">
        <f>IFERROR(INDEX(_Datos!C:C,MATCH(1157,_Datos!$I:$I,0)),"")</f>
        <v/>
      </c>
      <c r="D1164" s="64" t="str">
        <f>IFERROR(INDEX(_Datos!D:D,MATCH(1157,_Datos!$I:$I,0)),"")</f>
        <v/>
      </c>
      <c r="E1164" s="65" t="str">
        <f>IFERROR(INDEX(_Datos!E:E,MATCH(1157,_Datos!$I:$I,0)),"")</f>
        <v/>
      </c>
      <c r="F1164" s="63" t="str">
        <f>IFERROR(INDEX(_Datos!F:F,MATCH(1157,_Datos!$I:$I,0)),"")</f>
        <v/>
      </c>
      <c r="G1164" s="63" t="str">
        <f>IFERROR(INDEX(_Datos!G:G,MATCH(1157,_Datos!$I:$I,0)),"")</f>
        <v/>
      </c>
      <c r="H1164" s="66" t="str">
        <f>IFERROR(INDEX(_Datos!H:H,MATCH(1157,_Datos!$I:$I,0)),"")</f>
        <v/>
      </c>
    </row>
    <row r="1165" spans="1:8" x14ac:dyDescent="0.2">
      <c r="A1165" s="67" t="str">
        <f>IFERROR(INDEX(_Datos!A:A,MATCH(1158,_Datos!$I:$I,0)),"")</f>
        <v/>
      </c>
      <c r="B1165" s="67" t="str">
        <f>IFERROR(INDEX(_Datos!B:B,MATCH(1158,_Datos!$I:$I,0)),"")</f>
        <v/>
      </c>
      <c r="C1165" s="67" t="str">
        <f>IFERROR(INDEX(_Datos!C:C,MATCH(1158,_Datos!$I:$I,0)),"")</f>
        <v/>
      </c>
      <c r="D1165" s="68" t="str">
        <f>IFERROR(INDEX(_Datos!D:D,MATCH(1158,_Datos!$I:$I,0)),"")</f>
        <v/>
      </c>
      <c r="E1165" s="69" t="str">
        <f>IFERROR(INDEX(_Datos!E:E,MATCH(1158,_Datos!$I:$I,0)),"")</f>
        <v/>
      </c>
      <c r="F1165" s="67" t="str">
        <f>IFERROR(INDEX(_Datos!F:F,MATCH(1158,_Datos!$I:$I,0)),"")</f>
        <v/>
      </c>
      <c r="G1165" s="67" t="str">
        <f>IFERROR(INDEX(_Datos!G:G,MATCH(1158,_Datos!$I:$I,0)),"")</f>
        <v/>
      </c>
      <c r="H1165" s="70" t="str">
        <f>IFERROR(INDEX(_Datos!H:H,MATCH(1158,_Datos!$I:$I,0)),"")</f>
        <v/>
      </c>
    </row>
    <row r="1166" spans="1:8" x14ac:dyDescent="0.2">
      <c r="A1166" s="63" t="str">
        <f>IFERROR(INDEX(_Datos!A:A,MATCH(1159,_Datos!$I:$I,0)),"")</f>
        <v/>
      </c>
      <c r="B1166" s="63" t="str">
        <f>IFERROR(INDEX(_Datos!B:B,MATCH(1159,_Datos!$I:$I,0)),"")</f>
        <v/>
      </c>
      <c r="C1166" s="63" t="str">
        <f>IFERROR(INDEX(_Datos!C:C,MATCH(1159,_Datos!$I:$I,0)),"")</f>
        <v/>
      </c>
      <c r="D1166" s="64" t="str">
        <f>IFERROR(INDEX(_Datos!D:D,MATCH(1159,_Datos!$I:$I,0)),"")</f>
        <v/>
      </c>
      <c r="E1166" s="65" t="str">
        <f>IFERROR(INDEX(_Datos!E:E,MATCH(1159,_Datos!$I:$I,0)),"")</f>
        <v/>
      </c>
      <c r="F1166" s="63" t="str">
        <f>IFERROR(INDEX(_Datos!F:F,MATCH(1159,_Datos!$I:$I,0)),"")</f>
        <v/>
      </c>
      <c r="G1166" s="63" t="str">
        <f>IFERROR(INDEX(_Datos!G:G,MATCH(1159,_Datos!$I:$I,0)),"")</f>
        <v/>
      </c>
      <c r="H1166" s="66" t="str">
        <f>IFERROR(INDEX(_Datos!H:H,MATCH(1159,_Datos!$I:$I,0)),"")</f>
        <v/>
      </c>
    </row>
    <row r="1167" spans="1:8" x14ac:dyDescent="0.2">
      <c r="A1167" s="67" t="str">
        <f>IFERROR(INDEX(_Datos!A:A,MATCH(1160,_Datos!$I:$I,0)),"")</f>
        <v/>
      </c>
      <c r="B1167" s="67" t="str">
        <f>IFERROR(INDEX(_Datos!B:B,MATCH(1160,_Datos!$I:$I,0)),"")</f>
        <v/>
      </c>
      <c r="C1167" s="67" t="str">
        <f>IFERROR(INDEX(_Datos!C:C,MATCH(1160,_Datos!$I:$I,0)),"")</f>
        <v/>
      </c>
      <c r="D1167" s="68" t="str">
        <f>IFERROR(INDEX(_Datos!D:D,MATCH(1160,_Datos!$I:$I,0)),"")</f>
        <v/>
      </c>
      <c r="E1167" s="69" t="str">
        <f>IFERROR(INDEX(_Datos!E:E,MATCH(1160,_Datos!$I:$I,0)),"")</f>
        <v/>
      </c>
      <c r="F1167" s="67" t="str">
        <f>IFERROR(INDEX(_Datos!F:F,MATCH(1160,_Datos!$I:$I,0)),"")</f>
        <v/>
      </c>
      <c r="G1167" s="67" t="str">
        <f>IFERROR(INDEX(_Datos!G:G,MATCH(1160,_Datos!$I:$I,0)),"")</f>
        <v/>
      </c>
      <c r="H1167" s="70" t="str">
        <f>IFERROR(INDEX(_Datos!H:H,MATCH(1160,_Datos!$I:$I,0)),"")</f>
        <v/>
      </c>
    </row>
    <row r="1168" spans="1:8" x14ac:dyDescent="0.2">
      <c r="A1168" s="63" t="str">
        <f>IFERROR(INDEX(_Datos!A:A,MATCH(1161,_Datos!$I:$I,0)),"")</f>
        <v/>
      </c>
      <c r="B1168" s="63" t="str">
        <f>IFERROR(INDEX(_Datos!B:B,MATCH(1161,_Datos!$I:$I,0)),"")</f>
        <v/>
      </c>
      <c r="C1168" s="63" t="str">
        <f>IFERROR(INDEX(_Datos!C:C,MATCH(1161,_Datos!$I:$I,0)),"")</f>
        <v/>
      </c>
      <c r="D1168" s="64" t="str">
        <f>IFERROR(INDEX(_Datos!D:D,MATCH(1161,_Datos!$I:$I,0)),"")</f>
        <v/>
      </c>
      <c r="E1168" s="65" t="str">
        <f>IFERROR(INDEX(_Datos!E:E,MATCH(1161,_Datos!$I:$I,0)),"")</f>
        <v/>
      </c>
      <c r="F1168" s="63" t="str">
        <f>IFERROR(INDEX(_Datos!F:F,MATCH(1161,_Datos!$I:$I,0)),"")</f>
        <v/>
      </c>
      <c r="G1168" s="63" t="str">
        <f>IFERROR(INDEX(_Datos!G:G,MATCH(1161,_Datos!$I:$I,0)),"")</f>
        <v/>
      </c>
      <c r="H1168" s="66" t="str">
        <f>IFERROR(INDEX(_Datos!H:H,MATCH(1161,_Datos!$I:$I,0)),"")</f>
        <v/>
      </c>
    </row>
    <row r="1169" spans="1:8" x14ac:dyDescent="0.2">
      <c r="A1169" s="67" t="str">
        <f>IFERROR(INDEX(_Datos!A:A,MATCH(1162,_Datos!$I:$I,0)),"")</f>
        <v/>
      </c>
      <c r="B1169" s="67" t="str">
        <f>IFERROR(INDEX(_Datos!B:B,MATCH(1162,_Datos!$I:$I,0)),"")</f>
        <v/>
      </c>
      <c r="C1169" s="67" t="str">
        <f>IFERROR(INDEX(_Datos!C:C,MATCH(1162,_Datos!$I:$I,0)),"")</f>
        <v/>
      </c>
      <c r="D1169" s="68" t="str">
        <f>IFERROR(INDEX(_Datos!D:D,MATCH(1162,_Datos!$I:$I,0)),"")</f>
        <v/>
      </c>
      <c r="E1169" s="69" t="str">
        <f>IFERROR(INDEX(_Datos!E:E,MATCH(1162,_Datos!$I:$I,0)),"")</f>
        <v/>
      </c>
      <c r="F1169" s="67" t="str">
        <f>IFERROR(INDEX(_Datos!F:F,MATCH(1162,_Datos!$I:$I,0)),"")</f>
        <v/>
      </c>
      <c r="G1169" s="67" t="str">
        <f>IFERROR(INDEX(_Datos!G:G,MATCH(1162,_Datos!$I:$I,0)),"")</f>
        <v/>
      </c>
      <c r="H1169" s="70" t="str">
        <f>IFERROR(INDEX(_Datos!H:H,MATCH(1162,_Datos!$I:$I,0)),"")</f>
        <v/>
      </c>
    </row>
    <row r="1170" spans="1:8" x14ac:dyDescent="0.2">
      <c r="A1170" s="63" t="str">
        <f>IFERROR(INDEX(_Datos!A:A,MATCH(1163,_Datos!$I:$I,0)),"")</f>
        <v/>
      </c>
      <c r="B1170" s="63" t="str">
        <f>IFERROR(INDEX(_Datos!B:B,MATCH(1163,_Datos!$I:$I,0)),"")</f>
        <v/>
      </c>
      <c r="C1170" s="63" t="str">
        <f>IFERROR(INDEX(_Datos!C:C,MATCH(1163,_Datos!$I:$I,0)),"")</f>
        <v/>
      </c>
      <c r="D1170" s="64" t="str">
        <f>IFERROR(INDEX(_Datos!D:D,MATCH(1163,_Datos!$I:$I,0)),"")</f>
        <v/>
      </c>
      <c r="E1170" s="65" t="str">
        <f>IFERROR(INDEX(_Datos!E:E,MATCH(1163,_Datos!$I:$I,0)),"")</f>
        <v/>
      </c>
      <c r="F1170" s="63" t="str">
        <f>IFERROR(INDEX(_Datos!F:F,MATCH(1163,_Datos!$I:$I,0)),"")</f>
        <v/>
      </c>
      <c r="G1170" s="63" t="str">
        <f>IFERROR(INDEX(_Datos!G:G,MATCH(1163,_Datos!$I:$I,0)),"")</f>
        <v/>
      </c>
      <c r="H1170" s="66" t="str">
        <f>IFERROR(INDEX(_Datos!H:H,MATCH(1163,_Datos!$I:$I,0)),"")</f>
        <v/>
      </c>
    </row>
    <row r="1171" spans="1:8" x14ac:dyDescent="0.2">
      <c r="A1171" s="67" t="str">
        <f>IFERROR(INDEX(_Datos!A:A,MATCH(1164,_Datos!$I:$I,0)),"")</f>
        <v/>
      </c>
      <c r="B1171" s="67" t="str">
        <f>IFERROR(INDEX(_Datos!B:B,MATCH(1164,_Datos!$I:$I,0)),"")</f>
        <v/>
      </c>
      <c r="C1171" s="67" t="str">
        <f>IFERROR(INDEX(_Datos!C:C,MATCH(1164,_Datos!$I:$I,0)),"")</f>
        <v/>
      </c>
      <c r="D1171" s="68" t="str">
        <f>IFERROR(INDEX(_Datos!D:D,MATCH(1164,_Datos!$I:$I,0)),"")</f>
        <v/>
      </c>
      <c r="E1171" s="69" t="str">
        <f>IFERROR(INDEX(_Datos!E:E,MATCH(1164,_Datos!$I:$I,0)),"")</f>
        <v/>
      </c>
      <c r="F1171" s="67" t="str">
        <f>IFERROR(INDEX(_Datos!F:F,MATCH(1164,_Datos!$I:$I,0)),"")</f>
        <v/>
      </c>
      <c r="G1171" s="67" t="str">
        <f>IFERROR(INDEX(_Datos!G:G,MATCH(1164,_Datos!$I:$I,0)),"")</f>
        <v/>
      </c>
      <c r="H1171" s="70" t="str">
        <f>IFERROR(INDEX(_Datos!H:H,MATCH(1164,_Datos!$I:$I,0)),"")</f>
        <v/>
      </c>
    </row>
    <row r="1172" spans="1:8" x14ac:dyDescent="0.2">
      <c r="A1172" s="63" t="str">
        <f>IFERROR(INDEX(_Datos!A:A,MATCH(1165,_Datos!$I:$I,0)),"")</f>
        <v/>
      </c>
      <c r="B1172" s="63" t="str">
        <f>IFERROR(INDEX(_Datos!B:B,MATCH(1165,_Datos!$I:$I,0)),"")</f>
        <v/>
      </c>
      <c r="C1172" s="63" t="str">
        <f>IFERROR(INDEX(_Datos!C:C,MATCH(1165,_Datos!$I:$I,0)),"")</f>
        <v/>
      </c>
      <c r="D1172" s="64" t="str">
        <f>IFERROR(INDEX(_Datos!D:D,MATCH(1165,_Datos!$I:$I,0)),"")</f>
        <v/>
      </c>
      <c r="E1172" s="65" t="str">
        <f>IFERROR(INDEX(_Datos!E:E,MATCH(1165,_Datos!$I:$I,0)),"")</f>
        <v/>
      </c>
      <c r="F1172" s="63" t="str">
        <f>IFERROR(INDEX(_Datos!F:F,MATCH(1165,_Datos!$I:$I,0)),"")</f>
        <v/>
      </c>
      <c r="G1172" s="63" t="str">
        <f>IFERROR(INDEX(_Datos!G:G,MATCH(1165,_Datos!$I:$I,0)),"")</f>
        <v/>
      </c>
      <c r="H1172" s="66" t="str">
        <f>IFERROR(INDEX(_Datos!H:H,MATCH(1165,_Datos!$I:$I,0)),"")</f>
        <v/>
      </c>
    </row>
    <row r="1173" spans="1:8" x14ac:dyDescent="0.2">
      <c r="A1173" s="67" t="str">
        <f>IFERROR(INDEX(_Datos!A:A,MATCH(1166,_Datos!$I:$I,0)),"")</f>
        <v/>
      </c>
      <c r="B1173" s="67" t="str">
        <f>IFERROR(INDEX(_Datos!B:B,MATCH(1166,_Datos!$I:$I,0)),"")</f>
        <v/>
      </c>
      <c r="C1173" s="67" t="str">
        <f>IFERROR(INDEX(_Datos!C:C,MATCH(1166,_Datos!$I:$I,0)),"")</f>
        <v/>
      </c>
      <c r="D1173" s="68" t="str">
        <f>IFERROR(INDEX(_Datos!D:D,MATCH(1166,_Datos!$I:$I,0)),"")</f>
        <v/>
      </c>
      <c r="E1173" s="69" t="str">
        <f>IFERROR(INDEX(_Datos!E:E,MATCH(1166,_Datos!$I:$I,0)),"")</f>
        <v/>
      </c>
      <c r="F1173" s="67" t="str">
        <f>IFERROR(INDEX(_Datos!F:F,MATCH(1166,_Datos!$I:$I,0)),"")</f>
        <v/>
      </c>
      <c r="G1173" s="67" t="str">
        <f>IFERROR(INDEX(_Datos!G:G,MATCH(1166,_Datos!$I:$I,0)),"")</f>
        <v/>
      </c>
      <c r="H1173" s="70" t="str">
        <f>IFERROR(INDEX(_Datos!H:H,MATCH(1166,_Datos!$I:$I,0)),"")</f>
        <v/>
      </c>
    </row>
    <row r="1174" spans="1:8" x14ac:dyDescent="0.2">
      <c r="A1174" s="63" t="str">
        <f>IFERROR(INDEX(_Datos!A:A,MATCH(1167,_Datos!$I:$I,0)),"")</f>
        <v/>
      </c>
      <c r="B1174" s="63" t="str">
        <f>IFERROR(INDEX(_Datos!B:B,MATCH(1167,_Datos!$I:$I,0)),"")</f>
        <v/>
      </c>
      <c r="C1174" s="63" t="str">
        <f>IFERROR(INDEX(_Datos!C:C,MATCH(1167,_Datos!$I:$I,0)),"")</f>
        <v/>
      </c>
      <c r="D1174" s="64" t="str">
        <f>IFERROR(INDEX(_Datos!D:D,MATCH(1167,_Datos!$I:$I,0)),"")</f>
        <v/>
      </c>
      <c r="E1174" s="65" t="str">
        <f>IFERROR(INDEX(_Datos!E:E,MATCH(1167,_Datos!$I:$I,0)),"")</f>
        <v/>
      </c>
      <c r="F1174" s="63" t="str">
        <f>IFERROR(INDEX(_Datos!F:F,MATCH(1167,_Datos!$I:$I,0)),"")</f>
        <v/>
      </c>
      <c r="G1174" s="63" t="str">
        <f>IFERROR(INDEX(_Datos!G:G,MATCH(1167,_Datos!$I:$I,0)),"")</f>
        <v/>
      </c>
      <c r="H1174" s="66" t="str">
        <f>IFERROR(INDEX(_Datos!H:H,MATCH(1167,_Datos!$I:$I,0)),"")</f>
        <v/>
      </c>
    </row>
    <row r="1175" spans="1:8" x14ac:dyDescent="0.2">
      <c r="A1175" s="67" t="str">
        <f>IFERROR(INDEX(_Datos!A:A,MATCH(1168,_Datos!$I:$I,0)),"")</f>
        <v/>
      </c>
      <c r="B1175" s="67" t="str">
        <f>IFERROR(INDEX(_Datos!B:B,MATCH(1168,_Datos!$I:$I,0)),"")</f>
        <v/>
      </c>
      <c r="C1175" s="67" t="str">
        <f>IFERROR(INDEX(_Datos!C:C,MATCH(1168,_Datos!$I:$I,0)),"")</f>
        <v/>
      </c>
      <c r="D1175" s="68" t="str">
        <f>IFERROR(INDEX(_Datos!D:D,MATCH(1168,_Datos!$I:$I,0)),"")</f>
        <v/>
      </c>
      <c r="E1175" s="69" t="str">
        <f>IFERROR(INDEX(_Datos!E:E,MATCH(1168,_Datos!$I:$I,0)),"")</f>
        <v/>
      </c>
      <c r="F1175" s="67" t="str">
        <f>IFERROR(INDEX(_Datos!F:F,MATCH(1168,_Datos!$I:$I,0)),"")</f>
        <v/>
      </c>
      <c r="G1175" s="67" t="str">
        <f>IFERROR(INDEX(_Datos!G:G,MATCH(1168,_Datos!$I:$I,0)),"")</f>
        <v/>
      </c>
      <c r="H1175" s="70" t="str">
        <f>IFERROR(INDEX(_Datos!H:H,MATCH(1168,_Datos!$I:$I,0)),"")</f>
        <v/>
      </c>
    </row>
    <row r="1176" spans="1:8" x14ac:dyDescent="0.2">
      <c r="A1176" s="63" t="str">
        <f>IFERROR(INDEX(_Datos!A:A,MATCH(1169,_Datos!$I:$I,0)),"")</f>
        <v/>
      </c>
      <c r="B1176" s="63" t="str">
        <f>IFERROR(INDEX(_Datos!B:B,MATCH(1169,_Datos!$I:$I,0)),"")</f>
        <v/>
      </c>
      <c r="C1176" s="63" t="str">
        <f>IFERROR(INDEX(_Datos!C:C,MATCH(1169,_Datos!$I:$I,0)),"")</f>
        <v/>
      </c>
      <c r="D1176" s="64" t="str">
        <f>IFERROR(INDEX(_Datos!D:D,MATCH(1169,_Datos!$I:$I,0)),"")</f>
        <v/>
      </c>
      <c r="E1176" s="65" t="str">
        <f>IFERROR(INDEX(_Datos!E:E,MATCH(1169,_Datos!$I:$I,0)),"")</f>
        <v/>
      </c>
      <c r="F1176" s="63" t="str">
        <f>IFERROR(INDEX(_Datos!F:F,MATCH(1169,_Datos!$I:$I,0)),"")</f>
        <v/>
      </c>
      <c r="G1176" s="63" t="str">
        <f>IFERROR(INDEX(_Datos!G:G,MATCH(1169,_Datos!$I:$I,0)),"")</f>
        <v/>
      </c>
      <c r="H1176" s="66" t="str">
        <f>IFERROR(INDEX(_Datos!H:H,MATCH(1169,_Datos!$I:$I,0)),"")</f>
        <v/>
      </c>
    </row>
    <row r="1177" spans="1:8" x14ac:dyDescent="0.2">
      <c r="A1177" s="67" t="str">
        <f>IFERROR(INDEX(_Datos!A:A,MATCH(1170,_Datos!$I:$I,0)),"")</f>
        <v/>
      </c>
      <c r="B1177" s="67" t="str">
        <f>IFERROR(INDEX(_Datos!B:B,MATCH(1170,_Datos!$I:$I,0)),"")</f>
        <v/>
      </c>
      <c r="C1177" s="67" t="str">
        <f>IFERROR(INDEX(_Datos!C:C,MATCH(1170,_Datos!$I:$I,0)),"")</f>
        <v/>
      </c>
      <c r="D1177" s="68" t="str">
        <f>IFERROR(INDEX(_Datos!D:D,MATCH(1170,_Datos!$I:$I,0)),"")</f>
        <v/>
      </c>
      <c r="E1177" s="69" t="str">
        <f>IFERROR(INDEX(_Datos!E:E,MATCH(1170,_Datos!$I:$I,0)),"")</f>
        <v/>
      </c>
      <c r="F1177" s="67" t="str">
        <f>IFERROR(INDEX(_Datos!F:F,MATCH(1170,_Datos!$I:$I,0)),"")</f>
        <v/>
      </c>
      <c r="G1177" s="67" t="str">
        <f>IFERROR(INDEX(_Datos!G:G,MATCH(1170,_Datos!$I:$I,0)),"")</f>
        <v/>
      </c>
      <c r="H1177" s="70" t="str">
        <f>IFERROR(INDEX(_Datos!H:H,MATCH(1170,_Datos!$I:$I,0)),"")</f>
        <v/>
      </c>
    </row>
    <row r="1178" spans="1:8" x14ac:dyDescent="0.2">
      <c r="A1178" s="63" t="str">
        <f>IFERROR(INDEX(_Datos!A:A,MATCH(1171,_Datos!$I:$I,0)),"")</f>
        <v/>
      </c>
      <c r="B1178" s="63" t="str">
        <f>IFERROR(INDEX(_Datos!B:B,MATCH(1171,_Datos!$I:$I,0)),"")</f>
        <v/>
      </c>
      <c r="C1178" s="63" t="str">
        <f>IFERROR(INDEX(_Datos!C:C,MATCH(1171,_Datos!$I:$I,0)),"")</f>
        <v/>
      </c>
      <c r="D1178" s="64" t="str">
        <f>IFERROR(INDEX(_Datos!D:D,MATCH(1171,_Datos!$I:$I,0)),"")</f>
        <v/>
      </c>
      <c r="E1178" s="65" t="str">
        <f>IFERROR(INDEX(_Datos!E:E,MATCH(1171,_Datos!$I:$I,0)),"")</f>
        <v/>
      </c>
      <c r="F1178" s="63" t="str">
        <f>IFERROR(INDEX(_Datos!F:F,MATCH(1171,_Datos!$I:$I,0)),"")</f>
        <v/>
      </c>
      <c r="G1178" s="63" t="str">
        <f>IFERROR(INDEX(_Datos!G:G,MATCH(1171,_Datos!$I:$I,0)),"")</f>
        <v/>
      </c>
      <c r="H1178" s="66" t="str">
        <f>IFERROR(INDEX(_Datos!H:H,MATCH(1171,_Datos!$I:$I,0)),"")</f>
        <v/>
      </c>
    </row>
    <row r="1179" spans="1:8" x14ac:dyDescent="0.2">
      <c r="A1179" s="67" t="str">
        <f>IFERROR(INDEX(_Datos!A:A,MATCH(1172,_Datos!$I:$I,0)),"")</f>
        <v/>
      </c>
      <c r="B1179" s="67" t="str">
        <f>IFERROR(INDEX(_Datos!B:B,MATCH(1172,_Datos!$I:$I,0)),"")</f>
        <v/>
      </c>
      <c r="C1179" s="67" t="str">
        <f>IFERROR(INDEX(_Datos!C:C,MATCH(1172,_Datos!$I:$I,0)),"")</f>
        <v/>
      </c>
      <c r="D1179" s="68" t="str">
        <f>IFERROR(INDEX(_Datos!D:D,MATCH(1172,_Datos!$I:$I,0)),"")</f>
        <v/>
      </c>
      <c r="E1179" s="69" t="str">
        <f>IFERROR(INDEX(_Datos!E:E,MATCH(1172,_Datos!$I:$I,0)),"")</f>
        <v/>
      </c>
      <c r="F1179" s="67" t="str">
        <f>IFERROR(INDEX(_Datos!F:F,MATCH(1172,_Datos!$I:$I,0)),"")</f>
        <v/>
      </c>
      <c r="G1179" s="67" t="str">
        <f>IFERROR(INDEX(_Datos!G:G,MATCH(1172,_Datos!$I:$I,0)),"")</f>
        <v/>
      </c>
      <c r="H1179" s="70" t="str">
        <f>IFERROR(INDEX(_Datos!H:H,MATCH(1172,_Datos!$I:$I,0)),"")</f>
        <v/>
      </c>
    </row>
    <row r="1180" spans="1:8" x14ac:dyDescent="0.2">
      <c r="A1180" s="63" t="str">
        <f>IFERROR(INDEX(_Datos!A:A,MATCH(1173,_Datos!$I:$I,0)),"")</f>
        <v/>
      </c>
      <c r="B1180" s="63" t="str">
        <f>IFERROR(INDEX(_Datos!B:B,MATCH(1173,_Datos!$I:$I,0)),"")</f>
        <v/>
      </c>
      <c r="C1180" s="63" t="str">
        <f>IFERROR(INDEX(_Datos!C:C,MATCH(1173,_Datos!$I:$I,0)),"")</f>
        <v/>
      </c>
      <c r="D1180" s="64" t="str">
        <f>IFERROR(INDEX(_Datos!D:D,MATCH(1173,_Datos!$I:$I,0)),"")</f>
        <v/>
      </c>
      <c r="E1180" s="65" t="str">
        <f>IFERROR(INDEX(_Datos!E:E,MATCH(1173,_Datos!$I:$I,0)),"")</f>
        <v/>
      </c>
      <c r="F1180" s="63" t="str">
        <f>IFERROR(INDEX(_Datos!F:F,MATCH(1173,_Datos!$I:$I,0)),"")</f>
        <v/>
      </c>
      <c r="G1180" s="63" t="str">
        <f>IFERROR(INDEX(_Datos!G:G,MATCH(1173,_Datos!$I:$I,0)),"")</f>
        <v/>
      </c>
      <c r="H1180" s="66" t="str">
        <f>IFERROR(INDEX(_Datos!H:H,MATCH(1173,_Datos!$I:$I,0)),"")</f>
        <v/>
      </c>
    </row>
    <row r="1181" spans="1:8" x14ac:dyDescent="0.2">
      <c r="A1181" s="67" t="str">
        <f>IFERROR(INDEX(_Datos!A:A,MATCH(1174,_Datos!$I:$I,0)),"")</f>
        <v/>
      </c>
      <c r="B1181" s="67" t="str">
        <f>IFERROR(INDEX(_Datos!B:B,MATCH(1174,_Datos!$I:$I,0)),"")</f>
        <v/>
      </c>
      <c r="C1181" s="67" t="str">
        <f>IFERROR(INDEX(_Datos!C:C,MATCH(1174,_Datos!$I:$I,0)),"")</f>
        <v/>
      </c>
      <c r="D1181" s="68" t="str">
        <f>IFERROR(INDEX(_Datos!D:D,MATCH(1174,_Datos!$I:$I,0)),"")</f>
        <v/>
      </c>
      <c r="E1181" s="69" t="str">
        <f>IFERROR(INDEX(_Datos!E:E,MATCH(1174,_Datos!$I:$I,0)),"")</f>
        <v/>
      </c>
      <c r="F1181" s="67" t="str">
        <f>IFERROR(INDEX(_Datos!F:F,MATCH(1174,_Datos!$I:$I,0)),"")</f>
        <v/>
      </c>
      <c r="G1181" s="67" t="str">
        <f>IFERROR(INDEX(_Datos!G:G,MATCH(1174,_Datos!$I:$I,0)),"")</f>
        <v/>
      </c>
      <c r="H1181" s="70" t="str">
        <f>IFERROR(INDEX(_Datos!H:H,MATCH(1174,_Datos!$I:$I,0)),"")</f>
        <v/>
      </c>
    </row>
    <row r="1182" spans="1:8" x14ac:dyDescent="0.2">
      <c r="A1182" s="63" t="str">
        <f>IFERROR(INDEX(_Datos!A:A,MATCH(1175,_Datos!$I:$I,0)),"")</f>
        <v/>
      </c>
      <c r="B1182" s="63" t="str">
        <f>IFERROR(INDEX(_Datos!B:B,MATCH(1175,_Datos!$I:$I,0)),"")</f>
        <v/>
      </c>
      <c r="C1182" s="63" t="str">
        <f>IFERROR(INDEX(_Datos!C:C,MATCH(1175,_Datos!$I:$I,0)),"")</f>
        <v/>
      </c>
      <c r="D1182" s="64" t="str">
        <f>IFERROR(INDEX(_Datos!D:D,MATCH(1175,_Datos!$I:$I,0)),"")</f>
        <v/>
      </c>
      <c r="E1182" s="65" t="str">
        <f>IFERROR(INDEX(_Datos!E:E,MATCH(1175,_Datos!$I:$I,0)),"")</f>
        <v/>
      </c>
      <c r="F1182" s="63" t="str">
        <f>IFERROR(INDEX(_Datos!F:F,MATCH(1175,_Datos!$I:$I,0)),"")</f>
        <v/>
      </c>
      <c r="G1182" s="63" t="str">
        <f>IFERROR(INDEX(_Datos!G:G,MATCH(1175,_Datos!$I:$I,0)),"")</f>
        <v/>
      </c>
      <c r="H1182" s="66" t="str">
        <f>IFERROR(INDEX(_Datos!H:H,MATCH(1175,_Datos!$I:$I,0)),"")</f>
        <v/>
      </c>
    </row>
    <row r="1183" spans="1:8" x14ac:dyDescent="0.2">
      <c r="A1183" s="67" t="str">
        <f>IFERROR(INDEX(_Datos!A:A,MATCH(1176,_Datos!$I:$I,0)),"")</f>
        <v/>
      </c>
      <c r="B1183" s="67" t="str">
        <f>IFERROR(INDEX(_Datos!B:B,MATCH(1176,_Datos!$I:$I,0)),"")</f>
        <v/>
      </c>
      <c r="C1183" s="67" t="str">
        <f>IFERROR(INDEX(_Datos!C:C,MATCH(1176,_Datos!$I:$I,0)),"")</f>
        <v/>
      </c>
      <c r="D1183" s="68" t="str">
        <f>IFERROR(INDEX(_Datos!D:D,MATCH(1176,_Datos!$I:$I,0)),"")</f>
        <v/>
      </c>
      <c r="E1183" s="69" t="str">
        <f>IFERROR(INDEX(_Datos!E:E,MATCH(1176,_Datos!$I:$I,0)),"")</f>
        <v/>
      </c>
      <c r="F1183" s="67" t="str">
        <f>IFERROR(INDEX(_Datos!F:F,MATCH(1176,_Datos!$I:$I,0)),"")</f>
        <v/>
      </c>
      <c r="G1183" s="67" t="str">
        <f>IFERROR(INDEX(_Datos!G:G,MATCH(1176,_Datos!$I:$I,0)),"")</f>
        <v/>
      </c>
      <c r="H1183" s="70" t="str">
        <f>IFERROR(INDEX(_Datos!H:H,MATCH(1176,_Datos!$I:$I,0)),"")</f>
        <v/>
      </c>
    </row>
    <row r="1184" spans="1:8" x14ac:dyDescent="0.2">
      <c r="A1184" s="63" t="str">
        <f>IFERROR(INDEX(_Datos!A:A,MATCH(1177,_Datos!$I:$I,0)),"")</f>
        <v/>
      </c>
      <c r="B1184" s="63" t="str">
        <f>IFERROR(INDEX(_Datos!B:B,MATCH(1177,_Datos!$I:$I,0)),"")</f>
        <v/>
      </c>
      <c r="C1184" s="63" t="str">
        <f>IFERROR(INDEX(_Datos!C:C,MATCH(1177,_Datos!$I:$I,0)),"")</f>
        <v/>
      </c>
      <c r="D1184" s="64" t="str">
        <f>IFERROR(INDEX(_Datos!D:D,MATCH(1177,_Datos!$I:$I,0)),"")</f>
        <v/>
      </c>
      <c r="E1184" s="65" t="str">
        <f>IFERROR(INDEX(_Datos!E:E,MATCH(1177,_Datos!$I:$I,0)),"")</f>
        <v/>
      </c>
      <c r="F1184" s="63" t="str">
        <f>IFERROR(INDEX(_Datos!F:F,MATCH(1177,_Datos!$I:$I,0)),"")</f>
        <v/>
      </c>
      <c r="G1184" s="63" t="str">
        <f>IFERROR(INDEX(_Datos!G:G,MATCH(1177,_Datos!$I:$I,0)),"")</f>
        <v/>
      </c>
      <c r="H1184" s="66" t="str">
        <f>IFERROR(INDEX(_Datos!H:H,MATCH(1177,_Datos!$I:$I,0)),"")</f>
        <v/>
      </c>
    </row>
    <row r="1185" spans="1:8" x14ac:dyDescent="0.2">
      <c r="A1185" s="67" t="str">
        <f>IFERROR(INDEX(_Datos!A:A,MATCH(1178,_Datos!$I:$I,0)),"")</f>
        <v/>
      </c>
      <c r="B1185" s="67" t="str">
        <f>IFERROR(INDEX(_Datos!B:B,MATCH(1178,_Datos!$I:$I,0)),"")</f>
        <v/>
      </c>
      <c r="C1185" s="67" t="str">
        <f>IFERROR(INDEX(_Datos!C:C,MATCH(1178,_Datos!$I:$I,0)),"")</f>
        <v/>
      </c>
      <c r="D1185" s="68" t="str">
        <f>IFERROR(INDEX(_Datos!D:D,MATCH(1178,_Datos!$I:$I,0)),"")</f>
        <v/>
      </c>
      <c r="E1185" s="69" t="str">
        <f>IFERROR(INDEX(_Datos!E:E,MATCH(1178,_Datos!$I:$I,0)),"")</f>
        <v/>
      </c>
      <c r="F1185" s="67" t="str">
        <f>IFERROR(INDEX(_Datos!F:F,MATCH(1178,_Datos!$I:$I,0)),"")</f>
        <v/>
      </c>
      <c r="G1185" s="67" t="str">
        <f>IFERROR(INDEX(_Datos!G:G,MATCH(1178,_Datos!$I:$I,0)),"")</f>
        <v/>
      </c>
      <c r="H1185" s="70" t="str">
        <f>IFERROR(INDEX(_Datos!H:H,MATCH(1178,_Datos!$I:$I,0)),"")</f>
        <v/>
      </c>
    </row>
    <row r="1186" spans="1:8" x14ac:dyDescent="0.2">
      <c r="A1186" s="63" t="str">
        <f>IFERROR(INDEX(_Datos!A:A,MATCH(1179,_Datos!$I:$I,0)),"")</f>
        <v/>
      </c>
      <c r="B1186" s="63" t="str">
        <f>IFERROR(INDEX(_Datos!B:B,MATCH(1179,_Datos!$I:$I,0)),"")</f>
        <v/>
      </c>
      <c r="C1186" s="63" t="str">
        <f>IFERROR(INDEX(_Datos!C:C,MATCH(1179,_Datos!$I:$I,0)),"")</f>
        <v/>
      </c>
      <c r="D1186" s="64" t="str">
        <f>IFERROR(INDEX(_Datos!D:D,MATCH(1179,_Datos!$I:$I,0)),"")</f>
        <v/>
      </c>
      <c r="E1186" s="65" t="str">
        <f>IFERROR(INDEX(_Datos!E:E,MATCH(1179,_Datos!$I:$I,0)),"")</f>
        <v/>
      </c>
      <c r="F1186" s="63" t="str">
        <f>IFERROR(INDEX(_Datos!F:F,MATCH(1179,_Datos!$I:$I,0)),"")</f>
        <v/>
      </c>
      <c r="G1186" s="63" t="str">
        <f>IFERROR(INDEX(_Datos!G:G,MATCH(1179,_Datos!$I:$I,0)),"")</f>
        <v/>
      </c>
      <c r="H1186" s="66" t="str">
        <f>IFERROR(INDEX(_Datos!H:H,MATCH(1179,_Datos!$I:$I,0)),"")</f>
        <v/>
      </c>
    </row>
    <row r="1187" spans="1:8" x14ac:dyDescent="0.2">
      <c r="A1187" s="67" t="str">
        <f>IFERROR(INDEX(_Datos!A:A,MATCH(1180,_Datos!$I:$I,0)),"")</f>
        <v/>
      </c>
      <c r="B1187" s="67" t="str">
        <f>IFERROR(INDEX(_Datos!B:B,MATCH(1180,_Datos!$I:$I,0)),"")</f>
        <v/>
      </c>
      <c r="C1187" s="67" t="str">
        <f>IFERROR(INDEX(_Datos!C:C,MATCH(1180,_Datos!$I:$I,0)),"")</f>
        <v/>
      </c>
      <c r="D1187" s="68" t="str">
        <f>IFERROR(INDEX(_Datos!D:D,MATCH(1180,_Datos!$I:$I,0)),"")</f>
        <v/>
      </c>
      <c r="E1187" s="69" t="str">
        <f>IFERROR(INDEX(_Datos!E:E,MATCH(1180,_Datos!$I:$I,0)),"")</f>
        <v/>
      </c>
      <c r="F1187" s="67" t="str">
        <f>IFERROR(INDEX(_Datos!F:F,MATCH(1180,_Datos!$I:$I,0)),"")</f>
        <v/>
      </c>
      <c r="G1187" s="67" t="str">
        <f>IFERROR(INDEX(_Datos!G:G,MATCH(1180,_Datos!$I:$I,0)),"")</f>
        <v/>
      </c>
      <c r="H1187" s="70" t="str">
        <f>IFERROR(INDEX(_Datos!H:H,MATCH(1180,_Datos!$I:$I,0)),"")</f>
        <v/>
      </c>
    </row>
    <row r="1188" spans="1:8" x14ac:dyDescent="0.2">
      <c r="A1188" s="63" t="str">
        <f>IFERROR(INDEX(_Datos!A:A,MATCH(1181,_Datos!$I:$I,0)),"")</f>
        <v/>
      </c>
      <c r="B1188" s="63" t="str">
        <f>IFERROR(INDEX(_Datos!B:B,MATCH(1181,_Datos!$I:$I,0)),"")</f>
        <v/>
      </c>
      <c r="C1188" s="63" t="str">
        <f>IFERROR(INDEX(_Datos!C:C,MATCH(1181,_Datos!$I:$I,0)),"")</f>
        <v/>
      </c>
      <c r="D1188" s="64" t="str">
        <f>IFERROR(INDEX(_Datos!D:D,MATCH(1181,_Datos!$I:$I,0)),"")</f>
        <v/>
      </c>
      <c r="E1188" s="65" t="str">
        <f>IFERROR(INDEX(_Datos!E:E,MATCH(1181,_Datos!$I:$I,0)),"")</f>
        <v/>
      </c>
      <c r="F1188" s="63" t="str">
        <f>IFERROR(INDEX(_Datos!F:F,MATCH(1181,_Datos!$I:$I,0)),"")</f>
        <v/>
      </c>
      <c r="G1188" s="63" t="str">
        <f>IFERROR(INDEX(_Datos!G:G,MATCH(1181,_Datos!$I:$I,0)),"")</f>
        <v/>
      </c>
      <c r="H1188" s="66" t="str">
        <f>IFERROR(INDEX(_Datos!H:H,MATCH(1181,_Datos!$I:$I,0)),"")</f>
        <v/>
      </c>
    </row>
    <row r="1189" spans="1:8" x14ac:dyDescent="0.2">
      <c r="A1189" s="67" t="str">
        <f>IFERROR(INDEX(_Datos!A:A,MATCH(1182,_Datos!$I:$I,0)),"")</f>
        <v/>
      </c>
      <c r="B1189" s="67" t="str">
        <f>IFERROR(INDEX(_Datos!B:B,MATCH(1182,_Datos!$I:$I,0)),"")</f>
        <v/>
      </c>
      <c r="C1189" s="67" t="str">
        <f>IFERROR(INDEX(_Datos!C:C,MATCH(1182,_Datos!$I:$I,0)),"")</f>
        <v/>
      </c>
      <c r="D1189" s="68" t="str">
        <f>IFERROR(INDEX(_Datos!D:D,MATCH(1182,_Datos!$I:$I,0)),"")</f>
        <v/>
      </c>
      <c r="E1189" s="69" t="str">
        <f>IFERROR(INDEX(_Datos!E:E,MATCH(1182,_Datos!$I:$I,0)),"")</f>
        <v/>
      </c>
      <c r="F1189" s="67" t="str">
        <f>IFERROR(INDEX(_Datos!F:F,MATCH(1182,_Datos!$I:$I,0)),"")</f>
        <v/>
      </c>
      <c r="G1189" s="67" t="str">
        <f>IFERROR(INDEX(_Datos!G:G,MATCH(1182,_Datos!$I:$I,0)),"")</f>
        <v/>
      </c>
      <c r="H1189" s="70" t="str">
        <f>IFERROR(INDEX(_Datos!H:H,MATCH(1182,_Datos!$I:$I,0)),"")</f>
        <v/>
      </c>
    </row>
    <row r="1190" spans="1:8" x14ac:dyDescent="0.2">
      <c r="A1190" s="63" t="str">
        <f>IFERROR(INDEX(_Datos!A:A,MATCH(1183,_Datos!$I:$I,0)),"")</f>
        <v/>
      </c>
      <c r="B1190" s="63" t="str">
        <f>IFERROR(INDEX(_Datos!B:B,MATCH(1183,_Datos!$I:$I,0)),"")</f>
        <v/>
      </c>
      <c r="C1190" s="63" t="str">
        <f>IFERROR(INDEX(_Datos!C:C,MATCH(1183,_Datos!$I:$I,0)),"")</f>
        <v/>
      </c>
      <c r="D1190" s="64" t="str">
        <f>IFERROR(INDEX(_Datos!D:D,MATCH(1183,_Datos!$I:$I,0)),"")</f>
        <v/>
      </c>
      <c r="E1190" s="65" t="str">
        <f>IFERROR(INDEX(_Datos!E:E,MATCH(1183,_Datos!$I:$I,0)),"")</f>
        <v/>
      </c>
      <c r="F1190" s="63" t="str">
        <f>IFERROR(INDEX(_Datos!F:F,MATCH(1183,_Datos!$I:$I,0)),"")</f>
        <v/>
      </c>
      <c r="G1190" s="63" t="str">
        <f>IFERROR(INDEX(_Datos!G:G,MATCH(1183,_Datos!$I:$I,0)),"")</f>
        <v/>
      </c>
      <c r="H1190" s="66" t="str">
        <f>IFERROR(INDEX(_Datos!H:H,MATCH(1183,_Datos!$I:$I,0)),"")</f>
        <v/>
      </c>
    </row>
    <row r="1191" spans="1:8" x14ac:dyDescent="0.2">
      <c r="A1191" s="67" t="str">
        <f>IFERROR(INDEX(_Datos!A:A,MATCH(1184,_Datos!$I:$I,0)),"")</f>
        <v/>
      </c>
      <c r="B1191" s="67" t="str">
        <f>IFERROR(INDEX(_Datos!B:B,MATCH(1184,_Datos!$I:$I,0)),"")</f>
        <v/>
      </c>
      <c r="C1191" s="67" t="str">
        <f>IFERROR(INDEX(_Datos!C:C,MATCH(1184,_Datos!$I:$I,0)),"")</f>
        <v/>
      </c>
      <c r="D1191" s="68" t="str">
        <f>IFERROR(INDEX(_Datos!D:D,MATCH(1184,_Datos!$I:$I,0)),"")</f>
        <v/>
      </c>
      <c r="E1191" s="69" t="str">
        <f>IFERROR(INDEX(_Datos!E:E,MATCH(1184,_Datos!$I:$I,0)),"")</f>
        <v/>
      </c>
      <c r="F1191" s="67" t="str">
        <f>IFERROR(INDEX(_Datos!F:F,MATCH(1184,_Datos!$I:$I,0)),"")</f>
        <v/>
      </c>
      <c r="G1191" s="67" t="str">
        <f>IFERROR(INDEX(_Datos!G:G,MATCH(1184,_Datos!$I:$I,0)),"")</f>
        <v/>
      </c>
      <c r="H1191" s="70" t="str">
        <f>IFERROR(INDEX(_Datos!H:H,MATCH(1184,_Datos!$I:$I,0)),"")</f>
        <v/>
      </c>
    </row>
    <row r="1192" spans="1:8" x14ac:dyDescent="0.2">
      <c r="A1192" s="63" t="str">
        <f>IFERROR(INDEX(_Datos!A:A,MATCH(1185,_Datos!$I:$I,0)),"")</f>
        <v/>
      </c>
      <c r="B1192" s="63" t="str">
        <f>IFERROR(INDEX(_Datos!B:B,MATCH(1185,_Datos!$I:$I,0)),"")</f>
        <v/>
      </c>
      <c r="C1192" s="63" t="str">
        <f>IFERROR(INDEX(_Datos!C:C,MATCH(1185,_Datos!$I:$I,0)),"")</f>
        <v/>
      </c>
      <c r="D1192" s="64" t="str">
        <f>IFERROR(INDEX(_Datos!D:D,MATCH(1185,_Datos!$I:$I,0)),"")</f>
        <v/>
      </c>
      <c r="E1192" s="65" t="str">
        <f>IFERROR(INDEX(_Datos!E:E,MATCH(1185,_Datos!$I:$I,0)),"")</f>
        <v/>
      </c>
      <c r="F1192" s="63" t="str">
        <f>IFERROR(INDEX(_Datos!F:F,MATCH(1185,_Datos!$I:$I,0)),"")</f>
        <v/>
      </c>
      <c r="G1192" s="63" t="str">
        <f>IFERROR(INDEX(_Datos!G:G,MATCH(1185,_Datos!$I:$I,0)),"")</f>
        <v/>
      </c>
      <c r="H1192" s="66" t="str">
        <f>IFERROR(INDEX(_Datos!H:H,MATCH(1185,_Datos!$I:$I,0)),"")</f>
        <v/>
      </c>
    </row>
    <row r="1193" spans="1:8" x14ac:dyDescent="0.2">
      <c r="A1193" s="67" t="str">
        <f>IFERROR(INDEX(_Datos!A:A,MATCH(1186,_Datos!$I:$I,0)),"")</f>
        <v/>
      </c>
      <c r="B1193" s="67" t="str">
        <f>IFERROR(INDEX(_Datos!B:B,MATCH(1186,_Datos!$I:$I,0)),"")</f>
        <v/>
      </c>
      <c r="C1193" s="67" t="str">
        <f>IFERROR(INDEX(_Datos!C:C,MATCH(1186,_Datos!$I:$I,0)),"")</f>
        <v/>
      </c>
      <c r="D1193" s="68" t="str">
        <f>IFERROR(INDEX(_Datos!D:D,MATCH(1186,_Datos!$I:$I,0)),"")</f>
        <v/>
      </c>
      <c r="E1193" s="69" t="str">
        <f>IFERROR(INDEX(_Datos!E:E,MATCH(1186,_Datos!$I:$I,0)),"")</f>
        <v/>
      </c>
      <c r="F1193" s="67" t="str">
        <f>IFERROR(INDEX(_Datos!F:F,MATCH(1186,_Datos!$I:$I,0)),"")</f>
        <v/>
      </c>
      <c r="G1193" s="67" t="str">
        <f>IFERROR(INDEX(_Datos!G:G,MATCH(1186,_Datos!$I:$I,0)),"")</f>
        <v/>
      </c>
      <c r="H1193" s="70" t="str">
        <f>IFERROR(INDEX(_Datos!H:H,MATCH(1186,_Datos!$I:$I,0)),"")</f>
        <v/>
      </c>
    </row>
    <row r="1194" spans="1:8" x14ac:dyDescent="0.2">
      <c r="A1194" s="63" t="str">
        <f>IFERROR(INDEX(_Datos!A:A,MATCH(1187,_Datos!$I:$I,0)),"")</f>
        <v/>
      </c>
      <c r="B1194" s="63" t="str">
        <f>IFERROR(INDEX(_Datos!B:B,MATCH(1187,_Datos!$I:$I,0)),"")</f>
        <v/>
      </c>
      <c r="C1194" s="63" t="str">
        <f>IFERROR(INDEX(_Datos!C:C,MATCH(1187,_Datos!$I:$I,0)),"")</f>
        <v/>
      </c>
      <c r="D1194" s="64" t="str">
        <f>IFERROR(INDEX(_Datos!D:D,MATCH(1187,_Datos!$I:$I,0)),"")</f>
        <v/>
      </c>
      <c r="E1194" s="65" t="str">
        <f>IFERROR(INDEX(_Datos!E:E,MATCH(1187,_Datos!$I:$I,0)),"")</f>
        <v/>
      </c>
      <c r="F1194" s="63" t="str">
        <f>IFERROR(INDEX(_Datos!F:F,MATCH(1187,_Datos!$I:$I,0)),"")</f>
        <v/>
      </c>
      <c r="G1194" s="63" t="str">
        <f>IFERROR(INDEX(_Datos!G:G,MATCH(1187,_Datos!$I:$I,0)),"")</f>
        <v/>
      </c>
      <c r="H1194" s="66" t="str">
        <f>IFERROR(INDEX(_Datos!H:H,MATCH(1187,_Datos!$I:$I,0)),"")</f>
        <v/>
      </c>
    </row>
    <row r="1195" spans="1:8" x14ac:dyDescent="0.2">
      <c r="A1195" s="67" t="str">
        <f>IFERROR(INDEX(_Datos!A:A,MATCH(1188,_Datos!$I:$I,0)),"")</f>
        <v/>
      </c>
      <c r="B1195" s="67" t="str">
        <f>IFERROR(INDEX(_Datos!B:B,MATCH(1188,_Datos!$I:$I,0)),"")</f>
        <v/>
      </c>
      <c r="C1195" s="67" t="str">
        <f>IFERROR(INDEX(_Datos!C:C,MATCH(1188,_Datos!$I:$I,0)),"")</f>
        <v/>
      </c>
      <c r="D1195" s="68" t="str">
        <f>IFERROR(INDEX(_Datos!D:D,MATCH(1188,_Datos!$I:$I,0)),"")</f>
        <v/>
      </c>
      <c r="E1195" s="69" t="str">
        <f>IFERROR(INDEX(_Datos!E:E,MATCH(1188,_Datos!$I:$I,0)),"")</f>
        <v/>
      </c>
      <c r="F1195" s="67" t="str">
        <f>IFERROR(INDEX(_Datos!F:F,MATCH(1188,_Datos!$I:$I,0)),"")</f>
        <v/>
      </c>
      <c r="G1195" s="67" t="str">
        <f>IFERROR(INDEX(_Datos!G:G,MATCH(1188,_Datos!$I:$I,0)),"")</f>
        <v/>
      </c>
      <c r="H1195" s="70" t="str">
        <f>IFERROR(INDEX(_Datos!H:H,MATCH(1188,_Datos!$I:$I,0)),"")</f>
        <v/>
      </c>
    </row>
    <row r="1196" spans="1:8" x14ac:dyDescent="0.2">
      <c r="A1196" s="63" t="str">
        <f>IFERROR(INDEX(_Datos!A:A,MATCH(1189,_Datos!$I:$I,0)),"")</f>
        <v/>
      </c>
      <c r="B1196" s="63" t="str">
        <f>IFERROR(INDEX(_Datos!B:B,MATCH(1189,_Datos!$I:$I,0)),"")</f>
        <v/>
      </c>
      <c r="C1196" s="63" t="str">
        <f>IFERROR(INDEX(_Datos!C:C,MATCH(1189,_Datos!$I:$I,0)),"")</f>
        <v/>
      </c>
      <c r="D1196" s="64" t="str">
        <f>IFERROR(INDEX(_Datos!D:D,MATCH(1189,_Datos!$I:$I,0)),"")</f>
        <v/>
      </c>
      <c r="E1196" s="65" t="str">
        <f>IFERROR(INDEX(_Datos!E:E,MATCH(1189,_Datos!$I:$I,0)),"")</f>
        <v/>
      </c>
      <c r="F1196" s="63" t="str">
        <f>IFERROR(INDEX(_Datos!F:F,MATCH(1189,_Datos!$I:$I,0)),"")</f>
        <v/>
      </c>
      <c r="G1196" s="63" t="str">
        <f>IFERROR(INDEX(_Datos!G:G,MATCH(1189,_Datos!$I:$I,0)),"")</f>
        <v/>
      </c>
      <c r="H1196" s="66" t="str">
        <f>IFERROR(INDEX(_Datos!H:H,MATCH(1189,_Datos!$I:$I,0)),"")</f>
        <v/>
      </c>
    </row>
    <row r="1197" spans="1:8" x14ac:dyDescent="0.2">
      <c r="A1197" s="67" t="str">
        <f>IFERROR(INDEX(_Datos!A:A,MATCH(1190,_Datos!$I:$I,0)),"")</f>
        <v/>
      </c>
      <c r="B1197" s="67" t="str">
        <f>IFERROR(INDEX(_Datos!B:B,MATCH(1190,_Datos!$I:$I,0)),"")</f>
        <v/>
      </c>
      <c r="C1197" s="67" t="str">
        <f>IFERROR(INDEX(_Datos!C:C,MATCH(1190,_Datos!$I:$I,0)),"")</f>
        <v/>
      </c>
      <c r="D1197" s="68" t="str">
        <f>IFERROR(INDEX(_Datos!D:D,MATCH(1190,_Datos!$I:$I,0)),"")</f>
        <v/>
      </c>
      <c r="E1197" s="69" t="str">
        <f>IFERROR(INDEX(_Datos!E:E,MATCH(1190,_Datos!$I:$I,0)),"")</f>
        <v/>
      </c>
      <c r="F1197" s="67" t="str">
        <f>IFERROR(INDEX(_Datos!F:F,MATCH(1190,_Datos!$I:$I,0)),"")</f>
        <v/>
      </c>
      <c r="G1197" s="67" t="str">
        <f>IFERROR(INDEX(_Datos!G:G,MATCH(1190,_Datos!$I:$I,0)),"")</f>
        <v/>
      </c>
      <c r="H1197" s="70" t="str">
        <f>IFERROR(INDEX(_Datos!H:H,MATCH(1190,_Datos!$I:$I,0)),"")</f>
        <v/>
      </c>
    </row>
    <row r="1198" spans="1:8" x14ac:dyDescent="0.2">
      <c r="A1198" s="63" t="str">
        <f>IFERROR(INDEX(_Datos!A:A,MATCH(1191,_Datos!$I:$I,0)),"")</f>
        <v/>
      </c>
      <c r="B1198" s="63" t="str">
        <f>IFERROR(INDEX(_Datos!B:B,MATCH(1191,_Datos!$I:$I,0)),"")</f>
        <v/>
      </c>
      <c r="C1198" s="63" t="str">
        <f>IFERROR(INDEX(_Datos!C:C,MATCH(1191,_Datos!$I:$I,0)),"")</f>
        <v/>
      </c>
      <c r="D1198" s="64" t="str">
        <f>IFERROR(INDEX(_Datos!D:D,MATCH(1191,_Datos!$I:$I,0)),"")</f>
        <v/>
      </c>
      <c r="E1198" s="65" t="str">
        <f>IFERROR(INDEX(_Datos!E:E,MATCH(1191,_Datos!$I:$I,0)),"")</f>
        <v/>
      </c>
      <c r="F1198" s="63" t="str">
        <f>IFERROR(INDEX(_Datos!F:F,MATCH(1191,_Datos!$I:$I,0)),"")</f>
        <v/>
      </c>
      <c r="G1198" s="63" t="str">
        <f>IFERROR(INDEX(_Datos!G:G,MATCH(1191,_Datos!$I:$I,0)),"")</f>
        <v/>
      </c>
      <c r="H1198" s="66" t="str">
        <f>IFERROR(INDEX(_Datos!H:H,MATCH(1191,_Datos!$I:$I,0)),"")</f>
        <v/>
      </c>
    </row>
    <row r="1199" spans="1:8" x14ac:dyDescent="0.2">
      <c r="A1199" s="67" t="str">
        <f>IFERROR(INDEX(_Datos!A:A,MATCH(1192,_Datos!$I:$I,0)),"")</f>
        <v/>
      </c>
      <c r="B1199" s="67" t="str">
        <f>IFERROR(INDEX(_Datos!B:B,MATCH(1192,_Datos!$I:$I,0)),"")</f>
        <v/>
      </c>
      <c r="C1199" s="67" t="str">
        <f>IFERROR(INDEX(_Datos!C:C,MATCH(1192,_Datos!$I:$I,0)),"")</f>
        <v/>
      </c>
      <c r="D1199" s="68" t="str">
        <f>IFERROR(INDEX(_Datos!D:D,MATCH(1192,_Datos!$I:$I,0)),"")</f>
        <v/>
      </c>
      <c r="E1199" s="69" t="str">
        <f>IFERROR(INDEX(_Datos!E:E,MATCH(1192,_Datos!$I:$I,0)),"")</f>
        <v/>
      </c>
      <c r="F1199" s="67" t="str">
        <f>IFERROR(INDEX(_Datos!F:F,MATCH(1192,_Datos!$I:$I,0)),"")</f>
        <v/>
      </c>
      <c r="G1199" s="67" t="str">
        <f>IFERROR(INDEX(_Datos!G:G,MATCH(1192,_Datos!$I:$I,0)),"")</f>
        <v/>
      </c>
      <c r="H1199" s="70" t="str">
        <f>IFERROR(INDEX(_Datos!H:H,MATCH(1192,_Datos!$I:$I,0)),"")</f>
        <v/>
      </c>
    </row>
    <row r="1200" spans="1:8" x14ac:dyDescent="0.2">
      <c r="A1200" s="63" t="str">
        <f>IFERROR(INDEX(_Datos!A:A,MATCH(1193,_Datos!$I:$I,0)),"")</f>
        <v/>
      </c>
      <c r="B1200" s="63" t="str">
        <f>IFERROR(INDEX(_Datos!B:B,MATCH(1193,_Datos!$I:$I,0)),"")</f>
        <v/>
      </c>
      <c r="C1200" s="63" t="str">
        <f>IFERROR(INDEX(_Datos!C:C,MATCH(1193,_Datos!$I:$I,0)),"")</f>
        <v/>
      </c>
      <c r="D1200" s="64" t="str">
        <f>IFERROR(INDEX(_Datos!D:D,MATCH(1193,_Datos!$I:$I,0)),"")</f>
        <v/>
      </c>
      <c r="E1200" s="65" t="str">
        <f>IFERROR(INDEX(_Datos!E:E,MATCH(1193,_Datos!$I:$I,0)),"")</f>
        <v/>
      </c>
      <c r="F1200" s="63" t="str">
        <f>IFERROR(INDEX(_Datos!F:F,MATCH(1193,_Datos!$I:$I,0)),"")</f>
        <v/>
      </c>
      <c r="G1200" s="63" t="str">
        <f>IFERROR(INDEX(_Datos!G:G,MATCH(1193,_Datos!$I:$I,0)),"")</f>
        <v/>
      </c>
      <c r="H1200" s="66" t="str">
        <f>IFERROR(INDEX(_Datos!H:H,MATCH(1193,_Datos!$I:$I,0)),"")</f>
        <v/>
      </c>
    </row>
    <row r="1201" spans="1:8" x14ac:dyDescent="0.2">
      <c r="A1201" s="67" t="str">
        <f>IFERROR(INDEX(_Datos!A:A,MATCH(1194,_Datos!$I:$I,0)),"")</f>
        <v/>
      </c>
      <c r="B1201" s="67" t="str">
        <f>IFERROR(INDEX(_Datos!B:B,MATCH(1194,_Datos!$I:$I,0)),"")</f>
        <v/>
      </c>
      <c r="C1201" s="67" t="str">
        <f>IFERROR(INDEX(_Datos!C:C,MATCH(1194,_Datos!$I:$I,0)),"")</f>
        <v/>
      </c>
      <c r="D1201" s="68" t="str">
        <f>IFERROR(INDEX(_Datos!D:D,MATCH(1194,_Datos!$I:$I,0)),"")</f>
        <v/>
      </c>
      <c r="E1201" s="69" t="str">
        <f>IFERROR(INDEX(_Datos!E:E,MATCH(1194,_Datos!$I:$I,0)),"")</f>
        <v/>
      </c>
      <c r="F1201" s="67" t="str">
        <f>IFERROR(INDEX(_Datos!F:F,MATCH(1194,_Datos!$I:$I,0)),"")</f>
        <v/>
      </c>
      <c r="G1201" s="67" t="str">
        <f>IFERROR(INDEX(_Datos!G:G,MATCH(1194,_Datos!$I:$I,0)),"")</f>
        <v/>
      </c>
      <c r="H1201" s="70" t="str">
        <f>IFERROR(INDEX(_Datos!H:H,MATCH(1194,_Datos!$I:$I,0)),"")</f>
        <v/>
      </c>
    </row>
    <row r="1202" spans="1:8" x14ac:dyDescent="0.2">
      <c r="A1202" s="63" t="str">
        <f>IFERROR(INDEX(_Datos!A:A,MATCH(1195,_Datos!$I:$I,0)),"")</f>
        <v/>
      </c>
      <c r="B1202" s="63" t="str">
        <f>IFERROR(INDEX(_Datos!B:B,MATCH(1195,_Datos!$I:$I,0)),"")</f>
        <v/>
      </c>
      <c r="C1202" s="63" t="str">
        <f>IFERROR(INDEX(_Datos!C:C,MATCH(1195,_Datos!$I:$I,0)),"")</f>
        <v/>
      </c>
      <c r="D1202" s="64" t="str">
        <f>IFERROR(INDEX(_Datos!D:D,MATCH(1195,_Datos!$I:$I,0)),"")</f>
        <v/>
      </c>
      <c r="E1202" s="65" t="str">
        <f>IFERROR(INDEX(_Datos!E:E,MATCH(1195,_Datos!$I:$I,0)),"")</f>
        <v/>
      </c>
      <c r="F1202" s="63" t="str">
        <f>IFERROR(INDEX(_Datos!F:F,MATCH(1195,_Datos!$I:$I,0)),"")</f>
        <v/>
      </c>
      <c r="G1202" s="63" t="str">
        <f>IFERROR(INDEX(_Datos!G:G,MATCH(1195,_Datos!$I:$I,0)),"")</f>
        <v/>
      </c>
      <c r="H1202" s="66" t="str">
        <f>IFERROR(INDEX(_Datos!H:H,MATCH(1195,_Datos!$I:$I,0)),"")</f>
        <v/>
      </c>
    </row>
    <row r="1203" spans="1:8" x14ac:dyDescent="0.2">
      <c r="A1203" s="67" t="str">
        <f>IFERROR(INDEX(_Datos!A:A,MATCH(1196,_Datos!$I:$I,0)),"")</f>
        <v/>
      </c>
      <c r="B1203" s="67" t="str">
        <f>IFERROR(INDEX(_Datos!B:B,MATCH(1196,_Datos!$I:$I,0)),"")</f>
        <v/>
      </c>
      <c r="C1203" s="67" t="str">
        <f>IFERROR(INDEX(_Datos!C:C,MATCH(1196,_Datos!$I:$I,0)),"")</f>
        <v/>
      </c>
      <c r="D1203" s="68" t="str">
        <f>IFERROR(INDEX(_Datos!D:D,MATCH(1196,_Datos!$I:$I,0)),"")</f>
        <v/>
      </c>
      <c r="E1203" s="69" t="str">
        <f>IFERROR(INDEX(_Datos!E:E,MATCH(1196,_Datos!$I:$I,0)),"")</f>
        <v/>
      </c>
      <c r="F1203" s="67" t="str">
        <f>IFERROR(INDEX(_Datos!F:F,MATCH(1196,_Datos!$I:$I,0)),"")</f>
        <v/>
      </c>
      <c r="G1203" s="67" t="str">
        <f>IFERROR(INDEX(_Datos!G:G,MATCH(1196,_Datos!$I:$I,0)),"")</f>
        <v/>
      </c>
      <c r="H1203" s="70" t="str">
        <f>IFERROR(INDEX(_Datos!H:H,MATCH(1196,_Datos!$I:$I,0)),"")</f>
        <v/>
      </c>
    </row>
    <row r="1204" spans="1:8" x14ac:dyDescent="0.2">
      <c r="A1204" s="63" t="str">
        <f>IFERROR(INDEX(_Datos!A:A,MATCH(1197,_Datos!$I:$I,0)),"")</f>
        <v/>
      </c>
      <c r="B1204" s="63" t="str">
        <f>IFERROR(INDEX(_Datos!B:B,MATCH(1197,_Datos!$I:$I,0)),"")</f>
        <v/>
      </c>
      <c r="C1204" s="63" t="str">
        <f>IFERROR(INDEX(_Datos!C:C,MATCH(1197,_Datos!$I:$I,0)),"")</f>
        <v/>
      </c>
      <c r="D1204" s="64" t="str">
        <f>IFERROR(INDEX(_Datos!D:D,MATCH(1197,_Datos!$I:$I,0)),"")</f>
        <v/>
      </c>
      <c r="E1204" s="65" t="str">
        <f>IFERROR(INDEX(_Datos!E:E,MATCH(1197,_Datos!$I:$I,0)),"")</f>
        <v/>
      </c>
      <c r="F1204" s="63" t="str">
        <f>IFERROR(INDEX(_Datos!F:F,MATCH(1197,_Datos!$I:$I,0)),"")</f>
        <v/>
      </c>
      <c r="G1204" s="63" t="str">
        <f>IFERROR(INDEX(_Datos!G:G,MATCH(1197,_Datos!$I:$I,0)),"")</f>
        <v/>
      </c>
      <c r="H1204" s="66" t="str">
        <f>IFERROR(INDEX(_Datos!H:H,MATCH(1197,_Datos!$I:$I,0)),"")</f>
        <v/>
      </c>
    </row>
    <row r="1205" spans="1:8" x14ac:dyDescent="0.2">
      <c r="A1205" s="67" t="str">
        <f>IFERROR(INDEX(_Datos!A:A,MATCH(1198,_Datos!$I:$I,0)),"")</f>
        <v/>
      </c>
      <c r="B1205" s="67" t="str">
        <f>IFERROR(INDEX(_Datos!B:B,MATCH(1198,_Datos!$I:$I,0)),"")</f>
        <v/>
      </c>
      <c r="C1205" s="67" t="str">
        <f>IFERROR(INDEX(_Datos!C:C,MATCH(1198,_Datos!$I:$I,0)),"")</f>
        <v/>
      </c>
      <c r="D1205" s="68" t="str">
        <f>IFERROR(INDEX(_Datos!D:D,MATCH(1198,_Datos!$I:$I,0)),"")</f>
        <v/>
      </c>
      <c r="E1205" s="69" t="str">
        <f>IFERROR(INDEX(_Datos!E:E,MATCH(1198,_Datos!$I:$I,0)),"")</f>
        <v/>
      </c>
      <c r="F1205" s="67" t="str">
        <f>IFERROR(INDEX(_Datos!F:F,MATCH(1198,_Datos!$I:$I,0)),"")</f>
        <v/>
      </c>
      <c r="G1205" s="67" t="str">
        <f>IFERROR(INDEX(_Datos!G:G,MATCH(1198,_Datos!$I:$I,0)),"")</f>
        <v/>
      </c>
      <c r="H1205" s="70" t="str">
        <f>IFERROR(INDEX(_Datos!H:H,MATCH(1198,_Datos!$I:$I,0)),"")</f>
        <v/>
      </c>
    </row>
    <row r="1206" spans="1:8" x14ac:dyDescent="0.2">
      <c r="A1206" s="63" t="str">
        <f>IFERROR(INDEX(_Datos!A:A,MATCH(1199,_Datos!$I:$I,0)),"")</f>
        <v/>
      </c>
      <c r="B1206" s="63" t="str">
        <f>IFERROR(INDEX(_Datos!B:B,MATCH(1199,_Datos!$I:$I,0)),"")</f>
        <v/>
      </c>
      <c r="C1206" s="63" t="str">
        <f>IFERROR(INDEX(_Datos!C:C,MATCH(1199,_Datos!$I:$I,0)),"")</f>
        <v/>
      </c>
      <c r="D1206" s="64" t="str">
        <f>IFERROR(INDEX(_Datos!D:D,MATCH(1199,_Datos!$I:$I,0)),"")</f>
        <v/>
      </c>
      <c r="E1206" s="65" t="str">
        <f>IFERROR(INDEX(_Datos!E:E,MATCH(1199,_Datos!$I:$I,0)),"")</f>
        <v/>
      </c>
      <c r="F1206" s="63" t="str">
        <f>IFERROR(INDEX(_Datos!F:F,MATCH(1199,_Datos!$I:$I,0)),"")</f>
        <v/>
      </c>
      <c r="G1206" s="63" t="str">
        <f>IFERROR(INDEX(_Datos!G:G,MATCH(1199,_Datos!$I:$I,0)),"")</f>
        <v/>
      </c>
      <c r="H1206" s="66" t="str">
        <f>IFERROR(INDEX(_Datos!H:H,MATCH(1199,_Datos!$I:$I,0)),"")</f>
        <v/>
      </c>
    </row>
    <row r="1207" spans="1:8" x14ac:dyDescent="0.2">
      <c r="A1207" s="67" t="str">
        <f>IFERROR(INDEX(_Datos!A:A,MATCH(1200,_Datos!$I:$I,0)),"")</f>
        <v/>
      </c>
      <c r="B1207" s="67" t="str">
        <f>IFERROR(INDEX(_Datos!B:B,MATCH(1200,_Datos!$I:$I,0)),"")</f>
        <v/>
      </c>
      <c r="C1207" s="67" t="str">
        <f>IFERROR(INDEX(_Datos!C:C,MATCH(1200,_Datos!$I:$I,0)),"")</f>
        <v/>
      </c>
      <c r="D1207" s="68" t="str">
        <f>IFERROR(INDEX(_Datos!D:D,MATCH(1200,_Datos!$I:$I,0)),"")</f>
        <v/>
      </c>
      <c r="E1207" s="69" t="str">
        <f>IFERROR(INDEX(_Datos!E:E,MATCH(1200,_Datos!$I:$I,0)),"")</f>
        <v/>
      </c>
      <c r="F1207" s="67" t="str">
        <f>IFERROR(INDEX(_Datos!F:F,MATCH(1200,_Datos!$I:$I,0)),"")</f>
        <v/>
      </c>
      <c r="G1207" s="67" t="str">
        <f>IFERROR(INDEX(_Datos!G:G,MATCH(1200,_Datos!$I:$I,0)),"")</f>
        <v/>
      </c>
      <c r="H1207" s="70" t="str">
        <f>IFERROR(INDEX(_Datos!H:H,MATCH(1200,_Datos!$I:$I,0)),"")</f>
        <v/>
      </c>
    </row>
    <row r="1208" spans="1:8" x14ac:dyDescent="0.2">
      <c r="A1208" s="63" t="str">
        <f>IFERROR(INDEX(_Datos!A:A,MATCH(1201,_Datos!$I:$I,0)),"")</f>
        <v/>
      </c>
      <c r="B1208" s="63" t="str">
        <f>IFERROR(INDEX(_Datos!B:B,MATCH(1201,_Datos!$I:$I,0)),"")</f>
        <v/>
      </c>
      <c r="C1208" s="63" t="str">
        <f>IFERROR(INDEX(_Datos!C:C,MATCH(1201,_Datos!$I:$I,0)),"")</f>
        <v/>
      </c>
      <c r="D1208" s="64" t="str">
        <f>IFERROR(INDEX(_Datos!D:D,MATCH(1201,_Datos!$I:$I,0)),"")</f>
        <v/>
      </c>
      <c r="E1208" s="65" t="str">
        <f>IFERROR(INDEX(_Datos!E:E,MATCH(1201,_Datos!$I:$I,0)),"")</f>
        <v/>
      </c>
      <c r="F1208" s="63" t="str">
        <f>IFERROR(INDEX(_Datos!F:F,MATCH(1201,_Datos!$I:$I,0)),"")</f>
        <v/>
      </c>
      <c r="G1208" s="63" t="str">
        <f>IFERROR(INDEX(_Datos!G:G,MATCH(1201,_Datos!$I:$I,0)),"")</f>
        <v/>
      </c>
      <c r="H1208" s="66" t="str">
        <f>IFERROR(INDEX(_Datos!H:H,MATCH(1201,_Datos!$I:$I,0)),"")</f>
        <v/>
      </c>
    </row>
    <row r="1209" spans="1:8" x14ac:dyDescent="0.2">
      <c r="A1209" s="67" t="str">
        <f>IFERROR(INDEX(_Datos!A:A,MATCH(1202,_Datos!$I:$I,0)),"")</f>
        <v/>
      </c>
      <c r="B1209" s="67" t="str">
        <f>IFERROR(INDEX(_Datos!B:B,MATCH(1202,_Datos!$I:$I,0)),"")</f>
        <v/>
      </c>
      <c r="C1209" s="67" t="str">
        <f>IFERROR(INDEX(_Datos!C:C,MATCH(1202,_Datos!$I:$I,0)),"")</f>
        <v/>
      </c>
      <c r="D1209" s="68" t="str">
        <f>IFERROR(INDEX(_Datos!D:D,MATCH(1202,_Datos!$I:$I,0)),"")</f>
        <v/>
      </c>
      <c r="E1209" s="69" t="str">
        <f>IFERROR(INDEX(_Datos!E:E,MATCH(1202,_Datos!$I:$I,0)),"")</f>
        <v/>
      </c>
      <c r="F1209" s="67" t="str">
        <f>IFERROR(INDEX(_Datos!F:F,MATCH(1202,_Datos!$I:$I,0)),"")</f>
        <v/>
      </c>
      <c r="G1209" s="67" t="str">
        <f>IFERROR(INDEX(_Datos!G:G,MATCH(1202,_Datos!$I:$I,0)),"")</f>
        <v/>
      </c>
      <c r="H1209" s="70" t="str">
        <f>IFERROR(INDEX(_Datos!H:H,MATCH(1202,_Datos!$I:$I,0)),"")</f>
        <v/>
      </c>
    </row>
    <row r="1210" spans="1:8" x14ac:dyDescent="0.2">
      <c r="A1210" s="63" t="str">
        <f>IFERROR(INDEX(_Datos!A:A,MATCH(1203,_Datos!$I:$I,0)),"")</f>
        <v/>
      </c>
      <c r="B1210" s="63" t="str">
        <f>IFERROR(INDEX(_Datos!B:B,MATCH(1203,_Datos!$I:$I,0)),"")</f>
        <v/>
      </c>
      <c r="C1210" s="63" t="str">
        <f>IFERROR(INDEX(_Datos!C:C,MATCH(1203,_Datos!$I:$I,0)),"")</f>
        <v/>
      </c>
      <c r="D1210" s="64" t="str">
        <f>IFERROR(INDEX(_Datos!D:D,MATCH(1203,_Datos!$I:$I,0)),"")</f>
        <v/>
      </c>
      <c r="E1210" s="65" t="str">
        <f>IFERROR(INDEX(_Datos!E:E,MATCH(1203,_Datos!$I:$I,0)),"")</f>
        <v/>
      </c>
      <c r="F1210" s="63" t="str">
        <f>IFERROR(INDEX(_Datos!F:F,MATCH(1203,_Datos!$I:$I,0)),"")</f>
        <v/>
      </c>
      <c r="G1210" s="63" t="str">
        <f>IFERROR(INDEX(_Datos!G:G,MATCH(1203,_Datos!$I:$I,0)),"")</f>
        <v/>
      </c>
      <c r="H1210" s="66" t="str">
        <f>IFERROR(INDEX(_Datos!H:H,MATCH(1203,_Datos!$I:$I,0)),"")</f>
        <v/>
      </c>
    </row>
    <row r="1211" spans="1:8" x14ac:dyDescent="0.2">
      <c r="A1211" s="67" t="str">
        <f>IFERROR(INDEX(_Datos!A:A,MATCH(1204,_Datos!$I:$I,0)),"")</f>
        <v/>
      </c>
      <c r="B1211" s="67" t="str">
        <f>IFERROR(INDEX(_Datos!B:B,MATCH(1204,_Datos!$I:$I,0)),"")</f>
        <v/>
      </c>
      <c r="C1211" s="67" t="str">
        <f>IFERROR(INDEX(_Datos!C:C,MATCH(1204,_Datos!$I:$I,0)),"")</f>
        <v/>
      </c>
      <c r="D1211" s="68" t="str">
        <f>IFERROR(INDEX(_Datos!D:D,MATCH(1204,_Datos!$I:$I,0)),"")</f>
        <v/>
      </c>
      <c r="E1211" s="69" t="str">
        <f>IFERROR(INDEX(_Datos!E:E,MATCH(1204,_Datos!$I:$I,0)),"")</f>
        <v/>
      </c>
      <c r="F1211" s="67" t="str">
        <f>IFERROR(INDEX(_Datos!F:F,MATCH(1204,_Datos!$I:$I,0)),"")</f>
        <v/>
      </c>
      <c r="G1211" s="67" t="str">
        <f>IFERROR(INDEX(_Datos!G:G,MATCH(1204,_Datos!$I:$I,0)),"")</f>
        <v/>
      </c>
      <c r="H1211" s="70" t="str">
        <f>IFERROR(INDEX(_Datos!H:H,MATCH(1204,_Datos!$I:$I,0)),"")</f>
        <v/>
      </c>
    </row>
    <row r="1212" spans="1:8" x14ac:dyDescent="0.2">
      <c r="A1212" s="63" t="str">
        <f>IFERROR(INDEX(_Datos!A:A,MATCH(1205,_Datos!$I:$I,0)),"")</f>
        <v/>
      </c>
      <c r="B1212" s="63" t="str">
        <f>IFERROR(INDEX(_Datos!B:B,MATCH(1205,_Datos!$I:$I,0)),"")</f>
        <v/>
      </c>
      <c r="C1212" s="63" t="str">
        <f>IFERROR(INDEX(_Datos!C:C,MATCH(1205,_Datos!$I:$I,0)),"")</f>
        <v/>
      </c>
      <c r="D1212" s="64" t="str">
        <f>IFERROR(INDEX(_Datos!D:D,MATCH(1205,_Datos!$I:$I,0)),"")</f>
        <v/>
      </c>
      <c r="E1212" s="65" t="str">
        <f>IFERROR(INDEX(_Datos!E:E,MATCH(1205,_Datos!$I:$I,0)),"")</f>
        <v/>
      </c>
      <c r="F1212" s="63" t="str">
        <f>IFERROR(INDEX(_Datos!F:F,MATCH(1205,_Datos!$I:$I,0)),"")</f>
        <v/>
      </c>
      <c r="G1212" s="63" t="str">
        <f>IFERROR(INDEX(_Datos!G:G,MATCH(1205,_Datos!$I:$I,0)),"")</f>
        <v/>
      </c>
      <c r="H1212" s="66" t="str">
        <f>IFERROR(INDEX(_Datos!H:H,MATCH(1205,_Datos!$I:$I,0)),"")</f>
        <v/>
      </c>
    </row>
    <row r="1213" spans="1:8" x14ac:dyDescent="0.2">
      <c r="A1213" s="67" t="str">
        <f>IFERROR(INDEX(_Datos!A:A,MATCH(1206,_Datos!$I:$I,0)),"")</f>
        <v/>
      </c>
      <c r="B1213" s="67" t="str">
        <f>IFERROR(INDEX(_Datos!B:B,MATCH(1206,_Datos!$I:$I,0)),"")</f>
        <v/>
      </c>
      <c r="C1213" s="67" t="str">
        <f>IFERROR(INDEX(_Datos!C:C,MATCH(1206,_Datos!$I:$I,0)),"")</f>
        <v/>
      </c>
      <c r="D1213" s="68" t="str">
        <f>IFERROR(INDEX(_Datos!D:D,MATCH(1206,_Datos!$I:$I,0)),"")</f>
        <v/>
      </c>
      <c r="E1213" s="69" t="str">
        <f>IFERROR(INDEX(_Datos!E:E,MATCH(1206,_Datos!$I:$I,0)),"")</f>
        <v/>
      </c>
      <c r="F1213" s="67" t="str">
        <f>IFERROR(INDEX(_Datos!F:F,MATCH(1206,_Datos!$I:$I,0)),"")</f>
        <v/>
      </c>
      <c r="G1213" s="67" t="str">
        <f>IFERROR(INDEX(_Datos!G:G,MATCH(1206,_Datos!$I:$I,0)),"")</f>
        <v/>
      </c>
      <c r="H1213" s="70" t="str">
        <f>IFERROR(INDEX(_Datos!H:H,MATCH(1206,_Datos!$I:$I,0)),"")</f>
        <v/>
      </c>
    </row>
    <row r="1214" spans="1:8" x14ac:dyDescent="0.2">
      <c r="A1214" s="63" t="str">
        <f>IFERROR(INDEX(_Datos!A:A,MATCH(1207,_Datos!$I:$I,0)),"")</f>
        <v/>
      </c>
      <c r="B1214" s="63" t="str">
        <f>IFERROR(INDEX(_Datos!B:B,MATCH(1207,_Datos!$I:$I,0)),"")</f>
        <v/>
      </c>
      <c r="C1214" s="63" t="str">
        <f>IFERROR(INDEX(_Datos!C:C,MATCH(1207,_Datos!$I:$I,0)),"")</f>
        <v/>
      </c>
      <c r="D1214" s="64" t="str">
        <f>IFERROR(INDEX(_Datos!D:D,MATCH(1207,_Datos!$I:$I,0)),"")</f>
        <v/>
      </c>
      <c r="E1214" s="65" t="str">
        <f>IFERROR(INDEX(_Datos!E:E,MATCH(1207,_Datos!$I:$I,0)),"")</f>
        <v/>
      </c>
      <c r="F1214" s="63" t="str">
        <f>IFERROR(INDEX(_Datos!F:F,MATCH(1207,_Datos!$I:$I,0)),"")</f>
        <v/>
      </c>
      <c r="G1214" s="63" t="str">
        <f>IFERROR(INDEX(_Datos!G:G,MATCH(1207,_Datos!$I:$I,0)),"")</f>
        <v/>
      </c>
      <c r="H1214" s="66" t="str">
        <f>IFERROR(INDEX(_Datos!H:H,MATCH(1207,_Datos!$I:$I,0)),"")</f>
        <v/>
      </c>
    </row>
    <row r="1215" spans="1:8" x14ac:dyDescent="0.2">
      <c r="A1215" s="67" t="str">
        <f>IFERROR(INDEX(_Datos!A:A,MATCH(1208,_Datos!$I:$I,0)),"")</f>
        <v/>
      </c>
      <c r="B1215" s="67" t="str">
        <f>IFERROR(INDEX(_Datos!B:B,MATCH(1208,_Datos!$I:$I,0)),"")</f>
        <v/>
      </c>
      <c r="C1215" s="67" t="str">
        <f>IFERROR(INDEX(_Datos!C:C,MATCH(1208,_Datos!$I:$I,0)),"")</f>
        <v/>
      </c>
      <c r="D1215" s="68" t="str">
        <f>IFERROR(INDEX(_Datos!D:D,MATCH(1208,_Datos!$I:$I,0)),"")</f>
        <v/>
      </c>
      <c r="E1215" s="69" t="str">
        <f>IFERROR(INDEX(_Datos!E:E,MATCH(1208,_Datos!$I:$I,0)),"")</f>
        <v/>
      </c>
      <c r="F1215" s="67" t="str">
        <f>IFERROR(INDEX(_Datos!F:F,MATCH(1208,_Datos!$I:$I,0)),"")</f>
        <v/>
      </c>
      <c r="G1215" s="67" t="str">
        <f>IFERROR(INDEX(_Datos!G:G,MATCH(1208,_Datos!$I:$I,0)),"")</f>
        <v/>
      </c>
      <c r="H1215" s="70" t="str">
        <f>IFERROR(INDEX(_Datos!H:H,MATCH(1208,_Datos!$I:$I,0)),"")</f>
        <v/>
      </c>
    </row>
    <row r="1216" spans="1:8" x14ac:dyDescent="0.2">
      <c r="A1216" s="63" t="str">
        <f>IFERROR(INDEX(_Datos!A:A,MATCH(1209,_Datos!$I:$I,0)),"")</f>
        <v/>
      </c>
      <c r="B1216" s="63" t="str">
        <f>IFERROR(INDEX(_Datos!B:B,MATCH(1209,_Datos!$I:$I,0)),"")</f>
        <v/>
      </c>
      <c r="C1216" s="63" t="str">
        <f>IFERROR(INDEX(_Datos!C:C,MATCH(1209,_Datos!$I:$I,0)),"")</f>
        <v/>
      </c>
      <c r="D1216" s="64" t="str">
        <f>IFERROR(INDEX(_Datos!D:D,MATCH(1209,_Datos!$I:$I,0)),"")</f>
        <v/>
      </c>
      <c r="E1216" s="65" t="str">
        <f>IFERROR(INDEX(_Datos!E:E,MATCH(1209,_Datos!$I:$I,0)),"")</f>
        <v/>
      </c>
      <c r="F1216" s="63" t="str">
        <f>IFERROR(INDEX(_Datos!F:F,MATCH(1209,_Datos!$I:$I,0)),"")</f>
        <v/>
      </c>
      <c r="G1216" s="63" t="str">
        <f>IFERROR(INDEX(_Datos!G:G,MATCH(1209,_Datos!$I:$I,0)),"")</f>
        <v/>
      </c>
      <c r="H1216" s="66" t="str">
        <f>IFERROR(INDEX(_Datos!H:H,MATCH(1209,_Datos!$I:$I,0)),"")</f>
        <v/>
      </c>
    </row>
    <row r="1217" spans="1:8" x14ac:dyDescent="0.2">
      <c r="A1217" s="67" t="str">
        <f>IFERROR(INDEX(_Datos!A:A,MATCH(1210,_Datos!$I:$I,0)),"")</f>
        <v/>
      </c>
      <c r="B1217" s="67" t="str">
        <f>IFERROR(INDEX(_Datos!B:B,MATCH(1210,_Datos!$I:$I,0)),"")</f>
        <v/>
      </c>
      <c r="C1217" s="67" t="str">
        <f>IFERROR(INDEX(_Datos!C:C,MATCH(1210,_Datos!$I:$I,0)),"")</f>
        <v/>
      </c>
      <c r="D1217" s="68" t="str">
        <f>IFERROR(INDEX(_Datos!D:D,MATCH(1210,_Datos!$I:$I,0)),"")</f>
        <v/>
      </c>
      <c r="E1217" s="69" t="str">
        <f>IFERROR(INDEX(_Datos!E:E,MATCH(1210,_Datos!$I:$I,0)),"")</f>
        <v/>
      </c>
      <c r="F1217" s="67" t="str">
        <f>IFERROR(INDEX(_Datos!F:F,MATCH(1210,_Datos!$I:$I,0)),"")</f>
        <v/>
      </c>
      <c r="G1217" s="67" t="str">
        <f>IFERROR(INDEX(_Datos!G:G,MATCH(1210,_Datos!$I:$I,0)),"")</f>
        <v/>
      </c>
      <c r="H1217" s="70" t="str">
        <f>IFERROR(INDEX(_Datos!H:H,MATCH(1210,_Datos!$I:$I,0)),"")</f>
        <v/>
      </c>
    </row>
    <row r="1218" spans="1:8" x14ac:dyDescent="0.2">
      <c r="A1218" s="63" t="str">
        <f>IFERROR(INDEX(_Datos!A:A,MATCH(1211,_Datos!$I:$I,0)),"")</f>
        <v/>
      </c>
      <c r="B1218" s="63" t="str">
        <f>IFERROR(INDEX(_Datos!B:B,MATCH(1211,_Datos!$I:$I,0)),"")</f>
        <v/>
      </c>
      <c r="C1218" s="63" t="str">
        <f>IFERROR(INDEX(_Datos!C:C,MATCH(1211,_Datos!$I:$I,0)),"")</f>
        <v/>
      </c>
      <c r="D1218" s="64" t="str">
        <f>IFERROR(INDEX(_Datos!D:D,MATCH(1211,_Datos!$I:$I,0)),"")</f>
        <v/>
      </c>
      <c r="E1218" s="65" t="str">
        <f>IFERROR(INDEX(_Datos!E:E,MATCH(1211,_Datos!$I:$I,0)),"")</f>
        <v/>
      </c>
      <c r="F1218" s="63" t="str">
        <f>IFERROR(INDEX(_Datos!F:F,MATCH(1211,_Datos!$I:$I,0)),"")</f>
        <v/>
      </c>
      <c r="G1218" s="63" t="str">
        <f>IFERROR(INDEX(_Datos!G:G,MATCH(1211,_Datos!$I:$I,0)),"")</f>
        <v/>
      </c>
      <c r="H1218" s="66" t="str">
        <f>IFERROR(INDEX(_Datos!H:H,MATCH(1211,_Datos!$I:$I,0)),"")</f>
        <v/>
      </c>
    </row>
    <row r="1219" spans="1:8" x14ac:dyDescent="0.2">
      <c r="A1219" s="67" t="str">
        <f>IFERROR(INDEX(_Datos!A:A,MATCH(1212,_Datos!$I:$I,0)),"")</f>
        <v/>
      </c>
      <c r="B1219" s="67" t="str">
        <f>IFERROR(INDEX(_Datos!B:B,MATCH(1212,_Datos!$I:$I,0)),"")</f>
        <v/>
      </c>
      <c r="C1219" s="67" t="str">
        <f>IFERROR(INDEX(_Datos!C:C,MATCH(1212,_Datos!$I:$I,0)),"")</f>
        <v/>
      </c>
      <c r="D1219" s="68" t="str">
        <f>IFERROR(INDEX(_Datos!D:D,MATCH(1212,_Datos!$I:$I,0)),"")</f>
        <v/>
      </c>
      <c r="E1219" s="69" t="str">
        <f>IFERROR(INDEX(_Datos!E:E,MATCH(1212,_Datos!$I:$I,0)),"")</f>
        <v/>
      </c>
      <c r="F1219" s="67" t="str">
        <f>IFERROR(INDEX(_Datos!F:F,MATCH(1212,_Datos!$I:$I,0)),"")</f>
        <v/>
      </c>
      <c r="G1219" s="67" t="str">
        <f>IFERROR(INDEX(_Datos!G:G,MATCH(1212,_Datos!$I:$I,0)),"")</f>
        <v/>
      </c>
      <c r="H1219" s="70" t="str">
        <f>IFERROR(INDEX(_Datos!H:H,MATCH(1212,_Datos!$I:$I,0)),"")</f>
        <v/>
      </c>
    </row>
    <row r="1220" spans="1:8" x14ac:dyDescent="0.2">
      <c r="A1220" s="63" t="str">
        <f>IFERROR(INDEX(_Datos!A:A,MATCH(1213,_Datos!$I:$I,0)),"")</f>
        <v/>
      </c>
      <c r="B1220" s="63" t="str">
        <f>IFERROR(INDEX(_Datos!B:B,MATCH(1213,_Datos!$I:$I,0)),"")</f>
        <v/>
      </c>
      <c r="C1220" s="63" t="str">
        <f>IFERROR(INDEX(_Datos!C:C,MATCH(1213,_Datos!$I:$I,0)),"")</f>
        <v/>
      </c>
      <c r="D1220" s="64" t="str">
        <f>IFERROR(INDEX(_Datos!D:D,MATCH(1213,_Datos!$I:$I,0)),"")</f>
        <v/>
      </c>
      <c r="E1220" s="65" t="str">
        <f>IFERROR(INDEX(_Datos!E:E,MATCH(1213,_Datos!$I:$I,0)),"")</f>
        <v/>
      </c>
      <c r="F1220" s="63" t="str">
        <f>IFERROR(INDEX(_Datos!F:F,MATCH(1213,_Datos!$I:$I,0)),"")</f>
        <v/>
      </c>
      <c r="G1220" s="63" t="str">
        <f>IFERROR(INDEX(_Datos!G:G,MATCH(1213,_Datos!$I:$I,0)),"")</f>
        <v/>
      </c>
      <c r="H1220" s="66" t="str">
        <f>IFERROR(INDEX(_Datos!H:H,MATCH(1213,_Datos!$I:$I,0)),"")</f>
        <v/>
      </c>
    </row>
    <row r="1221" spans="1:8" x14ac:dyDescent="0.2">
      <c r="A1221" s="67" t="str">
        <f>IFERROR(INDEX(_Datos!A:A,MATCH(1214,_Datos!$I:$I,0)),"")</f>
        <v/>
      </c>
      <c r="B1221" s="67" t="str">
        <f>IFERROR(INDEX(_Datos!B:B,MATCH(1214,_Datos!$I:$I,0)),"")</f>
        <v/>
      </c>
      <c r="C1221" s="67" t="str">
        <f>IFERROR(INDEX(_Datos!C:C,MATCH(1214,_Datos!$I:$I,0)),"")</f>
        <v/>
      </c>
      <c r="D1221" s="68" t="str">
        <f>IFERROR(INDEX(_Datos!D:D,MATCH(1214,_Datos!$I:$I,0)),"")</f>
        <v/>
      </c>
      <c r="E1221" s="69" t="str">
        <f>IFERROR(INDEX(_Datos!E:E,MATCH(1214,_Datos!$I:$I,0)),"")</f>
        <v/>
      </c>
      <c r="F1221" s="67" t="str">
        <f>IFERROR(INDEX(_Datos!F:F,MATCH(1214,_Datos!$I:$I,0)),"")</f>
        <v/>
      </c>
      <c r="G1221" s="67" t="str">
        <f>IFERROR(INDEX(_Datos!G:G,MATCH(1214,_Datos!$I:$I,0)),"")</f>
        <v/>
      </c>
      <c r="H1221" s="70" t="str">
        <f>IFERROR(INDEX(_Datos!H:H,MATCH(1214,_Datos!$I:$I,0)),"")</f>
        <v/>
      </c>
    </row>
    <row r="1222" spans="1:8" x14ac:dyDescent="0.2">
      <c r="A1222" s="63" t="str">
        <f>IFERROR(INDEX(_Datos!A:A,MATCH(1215,_Datos!$I:$I,0)),"")</f>
        <v/>
      </c>
      <c r="B1222" s="63" t="str">
        <f>IFERROR(INDEX(_Datos!B:B,MATCH(1215,_Datos!$I:$I,0)),"")</f>
        <v/>
      </c>
      <c r="C1222" s="63" t="str">
        <f>IFERROR(INDEX(_Datos!C:C,MATCH(1215,_Datos!$I:$I,0)),"")</f>
        <v/>
      </c>
      <c r="D1222" s="64" t="str">
        <f>IFERROR(INDEX(_Datos!D:D,MATCH(1215,_Datos!$I:$I,0)),"")</f>
        <v/>
      </c>
      <c r="E1222" s="65" t="str">
        <f>IFERROR(INDEX(_Datos!E:E,MATCH(1215,_Datos!$I:$I,0)),"")</f>
        <v/>
      </c>
      <c r="F1222" s="63" t="str">
        <f>IFERROR(INDEX(_Datos!F:F,MATCH(1215,_Datos!$I:$I,0)),"")</f>
        <v/>
      </c>
      <c r="G1222" s="63" t="str">
        <f>IFERROR(INDEX(_Datos!G:G,MATCH(1215,_Datos!$I:$I,0)),"")</f>
        <v/>
      </c>
      <c r="H1222" s="66" t="str">
        <f>IFERROR(INDEX(_Datos!H:H,MATCH(1215,_Datos!$I:$I,0)),"")</f>
        <v/>
      </c>
    </row>
    <row r="1223" spans="1:8" x14ac:dyDescent="0.2">
      <c r="A1223" s="67" t="str">
        <f>IFERROR(INDEX(_Datos!A:A,MATCH(1216,_Datos!$I:$I,0)),"")</f>
        <v/>
      </c>
      <c r="B1223" s="67" t="str">
        <f>IFERROR(INDEX(_Datos!B:B,MATCH(1216,_Datos!$I:$I,0)),"")</f>
        <v/>
      </c>
      <c r="C1223" s="67" t="str">
        <f>IFERROR(INDEX(_Datos!C:C,MATCH(1216,_Datos!$I:$I,0)),"")</f>
        <v/>
      </c>
      <c r="D1223" s="68" t="str">
        <f>IFERROR(INDEX(_Datos!D:D,MATCH(1216,_Datos!$I:$I,0)),"")</f>
        <v/>
      </c>
      <c r="E1223" s="69" t="str">
        <f>IFERROR(INDEX(_Datos!E:E,MATCH(1216,_Datos!$I:$I,0)),"")</f>
        <v/>
      </c>
      <c r="F1223" s="67" t="str">
        <f>IFERROR(INDEX(_Datos!F:F,MATCH(1216,_Datos!$I:$I,0)),"")</f>
        <v/>
      </c>
      <c r="G1223" s="67" t="str">
        <f>IFERROR(INDEX(_Datos!G:G,MATCH(1216,_Datos!$I:$I,0)),"")</f>
        <v/>
      </c>
      <c r="H1223" s="70" t="str">
        <f>IFERROR(INDEX(_Datos!H:H,MATCH(1216,_Datos!$I:$I,0)),"")</f>
        <v/>
      </c>
    </row>
    <row r="1224" spans="1:8" x14ac:dyDescent="0.2">
      <c r="A1224" s="63" t="str">
        <f>IFERROR(INDEX(_Datos!A:A,MATCH(1217,_Datos!$I:$I,0)),"")</f>
        <v/>
      </c>
      <c r="B1224" s="63" t="str">
        <f>IFERROR(INDEX(_Datos!B:B,MATCH(1217,_Datos!$I:$I,0)),"")</f>
        <v/>
      </c>
      <c r="C1224" s="63" t="str">
        <f>IFERROR(INDEX(_Datos!C:C,MATCH(1217,_Datos!$I:$I,0)),"")</f>
        <v/>
      </c>
      <c r="D1224" s="64" t="str">
        <f>IFERROR(INDEX(_Datos!D:D,MATCH(1217,_Datos!$I:$I,0)),"")</f>
        <v/>
      </c>
      <c r="E1224" s="65" t="str">
        <f>IFERROR(INDEX(_Datos!E:E,MATCH(1217,_Datos!$I:$I,0)),"")</f>
        <v/>
      </c>
      <c r="F1224" s="63" t="str">
        <f>IFERROR(INDEX(_Datos!F:F,MATCH(1217,_Datos!$I:$I,0)),"")</f>
        <v/>
      </c>
      <c r="G1224" s="63" t="str">
        <f>IFERROR(INDEX(_Datos!G:G,MATCH(1217,_Datos!$I:$I,0)),"")</f>
        <v/>
      </c>
      <c r="H1224" s="66" t="str">
        <f>IFERROR(INDEX(_Datos!H:H,MATCH(1217,_Datos!$I:$I,0)),"")</f>
        <v/>
      </c>
    </row>
    <row r="1225" spans="1:8" x14ac:dyDescent="0.2">
      <c r="A1225" s="67" t="str">
        <f>IFERROR(INDEX(_Datos!A:A,MATCH(1218,_Datos!$I:$I,0)),"")</f>
        <v/>
      </c>
      <c r="B1225" s="67" t="str">
        <f>IFERROR(INDEX(_Datos!B:B,MATCH(1218,_Datos!$I:$I,0)),"")</f>
        <v/>
      </c>
      <c r="C1225" s="67" t="str">
        <f>IFERROR(INDEX(_Datos!C:C,MATCH(1218,_Datos!$I:$I,0)),"")</f>
        <v/>
      </c>
      <c r="D1225" s="68" t="str">
        <f>IFERROR(INDEX(_Datos!D:D,MATCH(1218,_Datos!$I:$I,0)),"")</f>
        <v/>
      </c>
      <c r="E1225" s="69" t="str">
        <f>IFERROR(INDEX(_Datos!E:E,MATCH(1218,_Datos!$I:$I,0)),"")</f>
        <v/>
      </c>
      <c r="F1225" s="67" t="str">
        <f>IFERROR(INDEX(_Datos!F:F,MATCH(1218,_Datos!$I:$I,0)),"")</f>
        <v/>
      </c>
      <c r="G1225" s="67" t="str">
        <f>IFERROR(INDEX(_Datos!G:G,MATCH(1218,_Datos!$I:$I,0)),"")</f>
        <v/>
      </c>
      <c r="H1225" s="70" t="str">
        <f>IFERROR(INDEX(_Datos!H:H,MATCH(1218,_Datos!$I:$I,0)),"")</f>
        <v/>
      </c>
    </row>
    <row r="1226" spans="1:8" x14ac:dyDescent="0.2">
      <c r="A1226" s="63" t="str">
        <f>IFERROR(INDEX(_Datos!A:A,MATCH(1219,_Datos!$I:$I,0)),"")</f>
        <v/>
      </c>
      <c r="B1226" s="63" t="str">
        <f>IFERROR(INDEX(_Datos!B:B,MATCH(1219,_Datos!$I:$I,0)),"")</f>
        <v/>
      </c>
      <c r="C1226" s="63" t="str">
        <f>IFERROR(INDEX(_Datos!C:C,MATCH(1219,_Datos!$I:$I,0)),"")</f>
        <v/>
      </c>
      <c r="D1226" s="64" t="str">
        <f>IFERROR(INDEX(_Datos!D:D,MATCH(1219,_Datos!$I:$I,0)),"")</f>
        <v/>
      </c>
      <c r="E1226" s="65" t="str">
        <f>IFERROR(INDEX(_Datos!E:E,MATCH(1219,_Datos!$I:$I,0)),"")</f>
        <v/>
      </c>
      <c r="F1226" s="63" t="str">
        <f>IFERROR(INDEX(_Datos!F:F,MATCH(1219,_Datos!$I:$I,0)),"")</f>
        <v/>
      </c>
      <c r="G1226" s="63" t="str">
        <f>IFERROR(INDEX(_Datos!G:G,MATCH(1219,_Datos!$I:$I,0)),"")</f>
        <v/>
      </c>
      <c r="H1226" s="66" t="str">
        <f>IFERROR(INDEX(_Datos!H:H,MATCH(1219,_Datos!$I:$I,0)),"")</f>
        <v/>
      </c>
    </row>
    <row r="1227" spans="1:8" x14ac:dyDescent="0.2">
      <c r="A1227" s="67" t="str">
        <f>IFERROR(INDEX(_Datos!A:A,MATCH(1220,_Datos!$I:$I,0)),"")</f>
        <v/>
      </c>
      <c r="B1227" s="67" t="str">
        <f>IFERROR(INDEX(_Datos!B:B,MATCH(1220,_Datos!$I:$I,0)),"")</f>
        <v/>
      </c>
      <c r="C1227" s="67" t="str">
        <f>IFERROR(INDEX(_Datos!C:C,MATCH(1220,_Datos!$I:$I,0)),"")</f>
        <v/>
      </c>
      <c r="D1227" s="68" t="str">
        <f>IFERROR(INDEX(_Datos!D:D,MATCH(1220,_Datos!$I:$I,0)),"")</f>
        <v/>
      </c>
      <c r="E1227" s="69" t="str">
        <f>IFERROR(INDEX(_Datos!E:E,MATCH(1220,_Datos!$I:$I,0)),"")</f>
        <v/>
      </c>
      <c r="F1227" s="67" t="str">
        <f>IFERROR(INDEX(_Datos!F:F,MATCH(1220,_Datos!$I:$I,0)),"")</f>
        <v/>
      </c>
      <c r="G1227" s="67" t="str">
        <f>IFERROR(INDEX(_Datos!G:G,MATCH(1220,_Datos!$I:$I,0)),"")</f>
        <v/>
      </c>
      <c r="H1227" s="70" t="str">
        <f>IFERROR(INDEX(_Datos!H:H,MATCH(1220,_Datos!$I:$I,0)),"")</f>
        <v/>
      </c>
    </row>
    <row r="1228" spans="1:8" x14ac:dyDescent="0.2">
      <c r="A1228" s="63" t="str">
        <f>IFERROR(INDEX(_Datos!A:A,MATCH(1221,_Datos!$I:$I,0)),"")</f>
        <v/>
      </c>
      <c r="B1228" s="63" t="str">
        <f>IFERROR(INDEX(_Datos!B:B,MATCH(1221,_Datos!$I:$I,0)),"")</f>
        <v/>
      </c>
      <c r="C1228" s="63" t="str">
        <f>IFERROR(INDEX(_Datos!C:C,MATCH(1221,_Datos!$I:$I,0)),"")</f>
        <v/>
      </c>
      <c r="D1228" s="64" t="str">
        <f>IFERROR(INDEX(_Datos!D:D,MATCH(1221,_Datos!$I:$I,0)),"")</f>
        <v/>
      </c>
      <c r="E1228" s="65" t="str">
        <f>IFERROR(INDEX(_Datos!E:E,MATCH(1221,_Datos!$I:$I,0)),"")</f>
        <v/>
      </c>
      <c r="F1228" s="63" t="str">
        <f>IFERROR(INDEX(_Datos!F:F,MATCH(1221,_Datos!$I:$I,0)),"")</f>
        <v/>
      </c>
      <c r="G1228" s="63" t="str">
        <f>IFERROR(INDEX(_Datos!G:G,MATCH(1221,_Datos!$I:$I,0)),"")</f>
        <v/>
      </c>
      <c r="H1228" s="66" t="str">
        <f>IFERROR(INDEX(_Datos!H:H,MATCH(1221,_Datos!$I:$I,0)),"")</f>
        <v/>
      </c>
    </row>
    <row r="1229" spans="1:8" x14ac:dyDescent="0.2">
      <c r="A1229" s="67" t="str">
        <f>IFERROR(INDEX(_Datos!A:A,MATCH(1222,_Datos!$I:$I,0)),"")</f>
        <v/>
      </c>
      <c r="B1229" s="67" t="str">
        <f>IFERROR(INDEX(_Datos!B:B,MATCH(1222,_Datos!$I:$I,0)),"")</f>
        <v/>
      </c>
      <c r="C1229" s="67" t="str">
        <f>IFERROR(INDEX(_Datos!C:C,MATCH(1222,_Datos!$I:$I,0)),"")</f>
        <v/>
      </c>
      <c r="D1229" s="68" t="str">
        <f>IFERROR(INDEX(_Datos!D:D,MATCH(1222,_Datos!$I:$I,0)),"")</f>
        <v/>
      </c>
      <c r="E1229" s="69" t="str">
        <f>IFERROR(INDEX(_Datos!E:E,MATCH(1222,_Datos!$I:$I,0)),"")</f>
        <v/>
      </c>
      <c r="F1229" s="67" t="str">
        <f>IFERROR(INDEX(_Datos!F:F,MATCH(1222,_Datos!$I:$I,0)),"")</f>
        <v/>
      </c>
      <c r="G1229" s="67" t="str">
        <f>IFERROR(INDEX(_Datos!G:G,MATCH(1222,_Datos!$I:$I,0)),"")</f>
        <v/>
      </c>
      <c r="H1229" s="70" t="str">
        <f>IFERROR(INDEX(_Datos!H:H,MATCH(1222,_Datos!$I:$I,0)),"")</f>
        <v/>
      </c>
    </row>
    <row r="1230" spans="1:8" x14ac:dyDescent="0.2">
      <c r="A1230" s="63" t="str">
        <f>IFERROR(INDEX(_Datos!A:A,MATCH(1223,_Datos!$I:$I,0)),"")</f>
        <v/>
      </c>
      <c r="B1230" s="63" t="str">
        <f>IFERROR(INDEX(_Datos!B:B,MATCH(1223,_Datos!$I:$I,0)),"")</f>
        <v/>
      </c>
      <c r="C1230" s="63" t="str">
        <f>IFERROR(INDEX(_Datos!C:C,MATCH(1223,_Datos!$I:$I,0)),"")</f>
        <v/>
      </c>
      <c r="D1230" s="64" t="str">
        <f>IFERROR(INDEX(_Datos!D:D,MATCH(1223,_Datos!$I:$I,0)),"")</f>
        <v/>
      </c>
      <c r="E1230" s="65" t="str">
        <f>IFERROR(INDEX(_Datos!E:E,MATCH(1223,_Datos!$I:$I,0)),"")</f>
        <v/>
      </c>
      <c r="F1230" s="63" t="str">
        <f>IFERROR(INDEX(_Datos!F:F,MATCH(1223,_Datos!$I:$I,0)),"")</f>
        <v/>
      </c>
      <c r="G1230" s="63" t="str">
        <f>IFERROR(INDEX(_Datos!G:G,MATCH(1223,_Datos!$I:$I,0)),"")</f>
        <v/>
      </c>
      <c r="H1230" s="66" t="str">
        <f>IFERROR(INDEX(_Datos!H:H,MATCH(1223,_Datos!$I:$I,0)),"")</f>
        <v/>
      </c>
    </row>
    <row r="1231" spans="1:8" x14ac:dyDescent="0.2">
      <c r="A1231" s="67" t="str">
        <f>IFERROR(INDEX(_Datos!A:A,MATCH(1224,_Datos!$I:$I,0)),"")</f>
        <v/>
      </c>
      <c r="B1231" s="67" t="str">
        <f>IFERROR(INDEX(_Datos!B:B,MATCH(1224,_Datos!$I:$I,0)),"")</f>
        <v/>
      </c>
      <c r="C1231" s="67" t="str">
        <f>IFERROR(INDEX(_Datos!C:C,MATCH(1224,_Datos!$I:$I,0)),"")</f>
        <v/>
      </c>
      <c r="D1231" s="68" t="str">
        <f>IFERROR(INDEX(_Datos!D:D,MATCH(1224,_Datos!$I:$I,0)),"")</f>
        <v/>
      </c>
      <c r="E1231" s="69" t="str">
        <f>IFERROR(INDEX(_Datos!E:E,MATCH(1224,_Datos!$I:$I,0)),"")</f>
        <v/>
      </c>
      <c r="F1231" s="67" t="str">
        <f>IFERROR(INDEX(_Datos!F:F,MATCH(1224,_Datos!$I:$I,0)),"")</f>
        <v/>
      </c>
      <c r="G1231" s="67" t="str">
        <f>IFERROR(INDEX(_Datos!G:G,MATCH(1224,_Datos!$I:$I,0)),"")</f>
        <v/>
      </c>
      <c r="H1231" s="70" t="str">
        <f>IFERROR(INDEX(_Datos!H:H,MATCH(1224,_Datos!$I:$I,0)),"")</f>
        <v/>
      </c>
    </row>
    <row r="1232" spans="1:8" x14ac:dyDescent="0.2">
      <c r="A1232" s="63" t="str">
        <f>IFERROR(INDEX(_Datos!A:A,MATCH(1225,_Datos!$I:$I,0)),"")</f>
        <v/>
      </c>
      <c r="B1232" s="63" t="str">
        <f>IFERROR(INDEX(_Datos!B:B,MATCH(1225,_Datos!$I:$I,0)),"")</f>
        <v/>
      </c>
      <c r="C1232" s="63" t="str">
        <f>IFERROR(INDEX(_Datos!C:C,MATCH(1225,_Datos!$I:$I,0)),"")</f>
        <v/>
      </c>
      <c r="D1232" s="64" t="str">
        <f>IFERROR(INDEX(_Datos!D:D,MATCH(1225,_Datos!$I:$I,0)),"")</f>
        <v/>
      </c>
      <c r="E1232" s="65" t="str">
        <f>IFERROR(INDEX(_Datos!E:E,MATCH(1225,_Datos!$I:$I,0)),"")</f>
        <v/>
      </c>
      <c r="F1232" s="63" t="str">
        <f>IFERROR(INDEX(_Datos!F:F,MATCH(1225,_Datos!$I:$I,0)),"")</f>
        <v/>
      </c>
      <c r="G1232" s="63" t="str">
        <f>IFERROR(INDEX(_Datos!G:G,MATCH(1225,_Datos!$I:$I,0)),"")</f>
        <v/>
      </c>
      <c r="H1232" s="66" t="str">
        <f>IFERROR(INDEX(_Datos!H:H,MATCH(1225,_Datos!$I:$I,0)),"")</f>
        <v/>
      </c>
    </row>
    <row r="1233" spans="1:8" x14ac:dyDescent="0.2">
      <c r="A1233" s="67" t="str">
        <f>IFERROR(INDEX(_Datos!A:A,MATCH(1226,_Datos!$I:$I,0)),"")</f>
        <v/>
      </c>
      <c r="B1233" s="67" t="str">
        <f>IFERROR(INDEX(_Datos!B:B,MATCH(1226,_Datos!$I:$I,0)),"")</f>
        <v/>
      </c>
      <c r="C1233" s="67" t="str">
        <f>IFERROR(INDEX(_Datos!C:C,MATCH(1226,_Datos!$I:$I,0)),"")</f>
        <v/>
      </c>
      <c r="D1233" s="68" t="str">
        <f>IFERROR(INDEX(_Datos!D:D,MATCH(1226,_Datos!$I:$I,0)),"")</f>
        <v/>
      </c>
      <c r="E1233" s="69" t="str">
        <f>IFERROR(INDEX(_Datos!E:E,MATCH(1226,_Datos!$I:$I,0)),"")</f>
        <v/>
      </c>
      <c r="F1233" s="67" t="str">
        <f>IFERROR(INDEX(_Datos!F:F,MATCH(1226,_Datos!$I:$I,0)),"")</f>
        <v/>
      </c>
      <c r="G1233" s="67" t="str">
        <f>IFERROR(INDEX(_Datos!G:G,MATCH(1226,_Datos!$I:$I,0)),"")</f>
        <v/>
      </c>
      <c r="H1233" s="70" t="str">
        <f>IFERROR(INDEX(_Datos!H:H,MATCH(1226,_Datos!$I:$I,0)),"")</f>
        <v/>
      </c>
    </row>
    <row r="1234" spans="1:8" x14ac:dyDescent="0.2">
      <c r="A1234" s="63" t="str">
        <f>IFERROR(INDEX(_Datos!A:A,MATCH(1227,_Datos!$I:$I,0)),"")</f>
        <v/>
      </c>
      <c r="B1234" s="63" t="str">
        <f>IFERROR(INDEX(_Datos!B:B,MATCH(1227,_Datos!$I:$I,0)),"")</f>
        <v/>
      </c>
      <c r="C1234" s="63" t="str">
        <f>IFERROR(INDEX(_Datos!C:C,MATCH(1227,_Datos!$I:$I,0)),"")</f>
        <v/>
      </c>
      <c r="D1234" s="64" t="str">
        <f>IFERROR(INDEX(_Datos!D:D,MATCH(1227,_Datos!$I:$I,0)),"")</f>
        <v/>
      </c>
      <c r="E1234" s="65" t="str">
        <f>IFERROR(INDEX(_Datos!E:E,MATCH(1227,_Datos!$I:$I,0)),"")</f>
        <v/>
      </c>
      <c r="F1234" s="63" t="str">
        <f>IFERROR(INDEX(_Datos!F:F,MATCH(1227,_Datos!$I:$I,0)),"")</f>
        <v/>
      </c>
      <c r="G1234" s="63" t="str">
        <f>IFERROR(INDEX(_Datos!G:G,MATCH(1227,_Datos!$I:$I,0)),"")</f>
        <v/>
      </c>
      <c r="H1234" s="66" t="str">
        <f>IFERROR(INDEX(_Datos!H:H,MATCH(1227,_Datos!$I:$I,0)),"")</f>
        <v/>
      </c>
    </row>
    <row r="1235" spans="1:8" x14ac:dyDescent="0.2">
      <c r="A1235" s="67" t="str">
        <f>IFERROR(INDEX(_Datos!A:A,MATCH(1228,_Datos!$I:$I,0)),"")</f>
        <v/>
      </c>
      <c r="B1235" s="67" t="str">
        <f>IFERROR(INDEX(_Datos!B:B,MATCH(1228,_Datos!$I:$I,0)),"")</f>
        <v/>
      </c>
      <c r="C1235" s="67" t="str">
        <f>IFERROR(INDEX(_Datos!C:C,MATCH(1228,_Datos!$I:$I,0)),"")</f>
        <v/>
      </c>
      <c r="D1235" s="68" t="str">
        <f>IFERROR(INDEX(_Datos!D:D,MATCH(1228,_Datos!$I:$I,0)),"")</f>
        <v/>
      </c>
      <c r="E1235" s="69" t="str">
        <f>IFERROR(INDEX(_Datos!E:E,MATCH(1228,_Datos!$I:$I,0)),"")</f>
        <v/>
      </c>
      <c r="F1235" s="67" t="str">
        <f>IFERROR(INDEX(_Datos!F:F,MATCH(1228,_Datos!$I:$I,0)),"")</f>
        <v/>
      </c>
      <c r="G1235" s="67" t="str">
        <f>IFERROR(INDEX(_Datos!G:G,MATCH(1228,_Datos!$I:$I,0)),"")</f>
        <v/>
      </c>
      <c r="H1235" s="70" t="str">
        <f>IFERROR(INDEX(_Datos!H:H,MATCH(1228,_Datos!$I:$I,0)),"")</f>
        <v/>
      </c>
    </row>
    <row r="1236" spans="1:8" x14ac:dyDescent="0.2">
      <c r="A1236" s="63" t="str">
        <f>IFERROR(INDEX(_Datos!A:A,MATCH(1229,_Datos!$I:$I,0)),"")</f>
        <v/>
      </c>
      <c r="B1236" s="63" t="str">
        <f>IFERROR(INDEX(_Datos!B:B,MATCH(1229,_Datos!$I:$I,0)),"")</f>
        <v/>
      </c>
      <c r="C1236" s="63" t="str">
        <f>IFERROR(INDEX(_Datos!C:C,MATCH(1229,_Datos!$I:$I,0)),"")</f>
        <v/>
      </c>
      <c r="D1236" s="64" t="str">
        <f>IFERROR(INDEX(_Datos!D:D,MATCH(1229,_Datos!$I:$I,0)),"")</f>
        <v/>
      </c>
      <c r="E1236" s="65" t="str">
        <f>IFERROR(INDEX(_Datos!E:E,MATCH(1229,_Datos!$I:$I,0)),"")</f>
        <v/>
      </c>
      <c r="F1236" s="63" t="str">
        <f>IFERROR(INDEX(_Datos!F:F,MATCH(1229,_Datos!$I:$I,0)),"")</f>
        <v/>
      </c>
      <c r="G1236" s="63" t="str">
        <f>IFERROR(INDEX(_Datos!G:G,MATCH(1229,_Datos!$I:$I,0)),"")</f>
        <v/>
      </c>
      <c r="H1236" s="66" t="str">
        <f>IFERROR(INDEX(_Datos!H:H,MATCH(1229,_Datos!$I:$I,0)),"")</f>
        <v/>
      </c>
    </row>
    <row r="1237" spans="1:8" x14ac:dyDescent="0.2">
      <c r="A1237" s="67" t="str">
        <f>IFERROR(INDEX(_Datos!A:A,MATCH(1230,_Datos!$I:$I,0)),"")</f>
        <v/>
      </c>
      <c r="B1237" s="67" t="str">
        <f>IFERROR(INDEX(_Datos!B:B,MATCH(1230,_Datos!$I:$I,0)),"")</f>
        <v/>
      </c>
      <c r="C1237" s="67" t="str">
        <f>IFERROR(INDEX(_Datos!C:C,MATCH(1230,_Datos!$I:$I,0)),"")</f>
        <v/>
      </c>
      <c r="D1237" s="68" t="str">
        <f>IFERROR(INDEX(_Datos!D:D,MATCH(1230,_Datos!$I:$I,0)),"")</f>
        <v/>
      </c>
      <c r="E1237" s="69" t="str">
        <f>IFERROR(INDEX(_Datos!E:E,MATCH(1230,_Datos!$I:$I,0)),"")</f>
        <v/>
      </c>
      <c r="F1237" s="67" t="str">
        <f>IFERROR(INDEX(_Datos!F:F,MATCH(1230,_Datos!$I:$I,0)),"")</f>
        <v/>
      </c>
      <c r="G1237" s="67" t="str">
        <f>IFERROR(INDEX(_Datos!G:G,MATCH(1230,_Datos!$I:$I,0)),"")</f>
        <v/>
      </c>
      <c r="H1237" s="70" t="str">
        <f>IFERROR(INDEX(_Datos!H:H,MATCH(1230,_Datos!$I:$I,0)),"")</f>
        <v/>
      </c>
    </row>
    <row r="1238" spans="1:8" x14ac:dyDescent="0.2">
      <c r="A1238" s="63" t="str">
        <f>IFERROR(INDEX(_Datos!A:A,MATCH(1231,_Datos!$I:$I,0)),"")</f>
        <v/>
      </c>
      <c r="B1238" s="63" t="str">
        <f>IFERROR(INDEX(_Datos!B:B,MATCH(1231,_Datos!$I:$I,0)),"")</f>
        <v/>
      </c>
      <c r="C1238" s="63" t="str">
        <f>IFERROR(INDEX(_Datos!C:C,MATCH(1231,_Datos!$I:$I,0)),"")</f>
        <v/>
      </c>
      <c r="D1238" s="64" t="str">
        <f>IFERROR(INDEX(_Datos!D:D,MATCH(1231,_Datos!$I:$I,0)),"")</f>
        <v/>
      </c>
      <c r="E1238" s="65" t="str">
        <f>IFERROR(INDEX(_Datos!E:E,MATCH(1231,_Datos!$I:$I,0)),"")</f>
        <v/>
      </c>
      <c r="F1238" s="63" t="str">
        <f>IFERROR(INDEX(_Datos!F:F,MATCH(1231,_Datos!$I:$I,0)),"")</f>
        <v/>
      </c>
      <c r="G1238" s="63" t="str">
        <f>IFERROR(INDEX(_Datos!G:G,MATCH(1231,_Datos!$I:$I,0)),"")</f>
        <v/>
      </c>
      <c r="H1238" s="66" t="str">
        <f>IFERROR(INDEX(_Datos!H:H,MATCH(1231,_Datos!$I:$I,0)),"")</f>
        <v/>
      </c>
    </row>
    <row r="1239" spans="1:8" x14ac:dyDescent="0.2">
      <c r="A1239" s="67" t="str">
        <f>IFERROR(INDEX(_Datos!A:A,MATCH(1232,_Datos!$I:$I,0)),"")</f>
        <v/>
      </c>
      <c r="B1239" s="67" t="str">
        <f>IFERROR(INDEX(_Datos!B:B,MATCH(1232,_Datos!$I:$I,0)),"")</f>
        <v/>
      </c>
      <c r="C1239" s="67" t="str">
        <f>IFERROR(INDEX(_Datos!C:C,MATCH(1232,_Datos!$I:$I,0)),"")</f>
        <v/>
      </c>
      <c r="D1239" s="68" t="str">
        <f>IFERROR(INDEX(_Datos!D:D,MATCH(1232,_Datos!$I:$I,0)),"")</f>
        <v/>
      </c>
      <c r="E1239" s="69" t="str">
        <f>IFERROR(INDEX(_Datos!E:E,MATCH(1232,_Datos!$I:$I,0)),"")</f>
        <v/>
      </c>
      <c r="F1239" s="67" t="str">
        <f>IFERROR(INDEX(_Datos!F:F,MATCH(1232,_Datos!$I:$I,0)),"")</f>
        <v/>
      </c>
      <c r="G1239" s="67" t="str">
        <f>IFERROR(INDEX(_Datos!G:G,MATCH(1232,_Datos!$I:$I,0)),"")</f>
        <v/>
      </c>
      <c r="H1239" s="70" t="str">
        <f>IFERROR(INDEX(_Datos!H:H,MATCH(1232,_Datos!$I:$I,0)),"")</f>
        <v/>
      </c>
    </row>
    <row r="1240" spans="1:8" x14ac:dyDescent="0.2">
      <c r="A1240" s="63" t="str">
        <f>IFERROR(INDEX(_Datos!A:A,MATCH(1233,_Datos!$I:$I,0)),"")</f>
        <v/>
      </c>
      <c r="B1240" s="63" t="str">
        <f>IFERROR(INDEX(_Datos!B:B,MATCH(1233,_Datos!$I:$I,0)),"")</f>
        <v/>
      </c>
      <c r="C1240" s="63" t="str">
        <f>IFERROR(INDEX(_Datos!C:C,MATCH(1233,_Datos!$I:$I,0)),"")</f>
        <v/>
      </c>
      <c r="D1240" s="64" t="str">
        <f>IFERROR(INDEX(_Datos!D:D,MATCH(1233,_Datos!$I:$I,0)),"")</f>
        <v/>
      </c>
      <c r="E1240" s="65" t="str">
        <f>IFERROR(INDEX(_Datos!E:E,MATCH(1233,_Datos!$I:$I,0)),"")</f>
        <v/>
      </c>
      <c r="F1240" s="63" t="str">
        <f>IFERROR(INDEX(_Datos!F:F,MATCH(1233,_Datos!$I:$I,0)),"")</f>
        <v/>
      </c>
      <c r="G1240" s="63" t="str">
        <f>IFERROR(INDEX(_Datos!G:G,MATCH(1233,_Datos!$I:$I,0)),"")</f>
        <v/>
      </c>
      <c r="H1240" s="66" t="str">
        <f>IFERROR(INDEX(_Datos!H:H,MATCH(1233,_Datos!$I:$I,0)),"")</f>
        <v/>
      </c>
    </row>
  </sheetData>
  <mergeCells count="3">
    <mergeCell ref="A2:H2"/>
    <mergeCell ref="A6:H6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FFFF"/>
  </sheetPr>
  <dimension ref="A1:E27"/>
  <sheetViews>
    <sheetView showGridLines="0" tabSelected="1" zoomScale="90" zoomScaleNormal="90" workbookViewId="0">
      <selection activeCell="A4" sqref="A4"/>
    </sheetView>
  </sheetViews>
  <sheetFormatPr baseColWidth="10" defaultColWidth="11.5" defaultRowHeight="14" x14ac:dyDescent="0.15"/>
  <cols>
    <col min="1" max="1" width="52.6640625" style="1" customWidth="1"/>
    <col min="2" max="2" width="21.1640625" style="1" customWidth="1"/>
    <col min="3" max="3" width="34.6640625" style="1" customWidth="1"/>
    <col min="4" max="4" width="30.5" style="1" customWidth="1"/>
    <col min="5" max="5" width="11.5" style="1" customWidth="1"/>
    <col min="6" max="16384" width="11.5" style="1"/>
  </cols>
  <sheetData>
    <row r="1" spans="1:5" ht="13.5" customHeight="1" x14ac:dyDescent="0.15">
      <c r="A1" s="85" t="s">
        <v>1448</v>
      </c>
      <c r="B1" s="86"/>
      <c r="C1" s="86"/>
      <c r="D1" s="87"/>
    </row>
    <row r="2" spans="1:5" ht="13.5" customHeight="1" x14ac:dyDescent="0.15">
      <c r="A2" s="88"/>
      <c r="B2" s="89"/>
      <c r="C2" s="89"/>
      <c r="D2" s="90"/>
      <c r="E2" s="2" t="s">
        <v>14</v>
      </c>
    </row>
    <row r="3" spans="1:5" ht="13.5" customHeight="1" x14ac:dyDescent="0.15">
      <c r="A3" s="91"/>
      <c r="B3" s="92"/>
      <c r="C3" s="92"/>
      <c r="D3" s="93"/>
      <c r="E3" s="2" t="s">
        <v>15</v>
      </c>
    </row>
    <row r="5" spans="1:5" ht="28" customHeight="1" x14ac:dyDescent="0.15">
      <c r="C5" s="71" t="s">
        <v>16</v>
      </c>
    </row>
    <row r="7" spans="1:5" ht="13.5" customHeight="1" x14ac:dyDescent="0.15">
      <c r="B7" s="3" t="s">
        <v>7</v>
      </c>
      <c r="C7" s="3" t="s">
        <v>8</v>
      </c>
    </row>
    <row r="8" spans="1:5" ht="18" customHeight="1" x14ac:dyDescent="0.2">
      <c r="A8" s="4"/>
      <c r="B8" s="82" t="s">
        <v>17</v>
      </c>
      <c r="C8" s="5" t="s">
        <v>18</v>
      </c>
      <c r="D8" s="94" t="s">
        <v>19</v>
      </c>
    </row>
    <row r="9" spans="1:5" ht="18" customHeight="1" x14ac:dyDescent="0.2">
      <c r="A9" s="6"/>
      <c r="B9" s="83"/>
      <c r="C9" s="5" t="s">
        <v>20</v>
      </c>
      <c r="D9" s="83"/>
    </row>
    <row r="10" spans="1:5" ht="18" customHeight="1" x14ac:dyDescent="0.2">
      <c r="A10" s="6"/>
      <c r="B10" s="83"/>
      <c r="C10" s="5" t="s">
        <v>21</v>
      </c>
      <c r="D10" s="83"/>
    </row>
    <row r="11" spans="1:5" ht="18" customHeight="1" x14ac:dyDescent="0.2">
      <c r="A11" s="6"/>
      <c r="B11" s="83"/>
      <c r="C11" s="5" t="s">
        <v>22</v>
      </c>
      <c r="D11" s="83"/>
    </row>
    <row r="12" spans="1:5" ht="18" customHeight="1" x14ac:dyDescent="0.2">
      <c r="A12" s="6"/>
      <c r="B12" s="83"/>
      <c r="C12" s="7" t="s">
        <v>23</v>
      </c>
      <c r="D12" s="83"/>
    </row>
    <row r="13" spans="1:5" ht="18" customHeight="1" x14ac:dyDescent="0.2">
      <c r="A13" s="6"/>
      <c r="B13" s="83"/>
      <c r="C13" s="5" t="s">
        <v>24</v>
      </c>
      <c r="D13" s="83"/>
    </row>
    <row r="14" spans="1:5" ht="18" customHeight="1" x14ac:dyDescent="0.2">
      <c r="A14" s="6"/>
      <c r="B14" s="83"/>
      <c r="C14" s="5" t="s">
        <v>25</v>
      </c>
      <c r="D14" s="83"/>
    </row>
    <row r="15" spans="1:5" ht="18" customHeight="1" x14ac:dyDescent="0.2">
      <c r="A15" s="6"/>
      <c r="B15" s="83"/>
      <c r="C15" s="5" t="s">
        <v>26</v>
      </c>
      <c r="D15" s="83"/>
    </row>
    <row r="16" spans="1:5" ht="18" customHeight="1" x14ac:dyDescent="0.2">
      <c r="A16" s="6"/>
      <c r="B16" s="83"/>
      <c r="C16" s="5" t="s">
        <v>27</v>
      </c>
      <c r="D16" s="83"/>
    </row>
    <row r="17" spans="1:5" ht="18" customHeight="1" x14ac:dyDescent="0.2">
      <c r="A17" s="6"/>
      <c r="B17" s="83"/>
      <c r="C17" s="5" t="s">
        <v>28</v>
      </c>
      <c r="D17" s="83"/>
    </row>
    <row r="18" spans="1:5" ht="18" customHeight="1" x14ac:dyDescent="0.2">
      <c r="A18" s="6"/>
      <c r="B18" s="83"/>
      <c r="C18" s="5" t="s">
        <v>29</v>
      </c>
      <c r="D18" s="83"/>
    </row>
    <row r="19" spans="1:5" ht="18" customHeight="1" x14ac:dyDescent="0.2">
      <c r="A19" s="6"/>
      <c r="B19" s="83"/>
      <c r="C19" s="5" t="s">
        <v>30</v>
      </c>
      <c r="D19" s="83"/>
    </row>
    <row r="20" spans="1:5" ht="18" customHeight="1" x14ac:dyDescent="0.2">
      <c r="A20" s="6"/>
      <c r="B20" s="84"/>
      <c r="C20" s="5" t="s">
        <v>31</v>
      </c>
      <c r="D20" s="83"/>
    </row>
    <row r="21" spans="1:5" ht="18" customHeight="1" x14ac:dyDescent="0.2">
      <c r="A21" s="6"/>
      <c r="B21" s="82" t="s">
        <v>32</v>
      </c>
      <c r="C21" s="5" t="s">
        <v>33</v>
      </c>
      <c r="D21" s="83"/>
    </row>
    <row r="22" spans="1:5" ht="18" customHeight="1" x14ac:dyDescent="0.2">
      <c r="A22" s="8"/>
      <c r="B22" s="84"/>
      <c r="C22" s="5" t="s">
        <v>34</v>
      </c>
      <c r="D22" s="84"/>
    </row>
    <row r="23" spans="1:5" ht="13.5" customHeight="1" x14ac:dyDescent="0.15">
      <c r="E23" s="9"/>
    </row>
    <row r="25" spans="1:5" ht="13.5" customHeight="1" x14ac:dyDescent="0.15">
      <c r="C25" s="95" t="s">
        <v>35</v>
      </c>
    </row>
    <row r="26" spans="1:5" ht="13.5" customHeight="1" x14ac:dyDescent="0.15">
      <c r="C26" s="83"/>
    </row>
    <row r="27" spans="1:5" ht="13.5" customHeight="1" x14ac:dyDescent="0.15">
      <c r="C27" s="84"/>
    </row>
  </sheetData>
  <mergeCells count="5">
    <mergeCell ref="B8:B20"/>
    <mergeCell ref="A1:D3"/>
    <mergeCell ref="D8:D22"/>
    <mergeCell ref="C25:C27"/>
    <mergeCell ref="B21:B22"/>
  </mergeCells>
  <hyperlinks>
    <hyperlink ref="C5" location="'RESUMEN COTIZACIÓN'!A1" display="➤ IR A RESUMEN COTIZACIÓN" xr:uid="{00000000-0004-0000-0100-000000000000}"/>
    <hyperlink ref="C8" location="PPRCT!C4" display="PP-RCT" xr:uid="{00000000-0004-0000-0100-000001000000}"/>
    <hyperlink ref="C9" location="PPR!C4" display="PP-R" xr:uid="{00000000-0004-0000-0100-000002000000}"/>
    <hyperlink ref="C10" location="'Adhes. Lubric Teflón'!C4" display="Adhesivos, lubricantes y teflón" xr:uid="{00000000-0004-0000-0100-000003000000}"/>
    <hyperlink ref="C11" location="'PVC Sanit Gris'!C4" display="PVC Sanitario Gris" xr:uid="{00000000-0004-0000-0100-000004000000}"/>
    <hyperlink ref="C12" location="'PVC Gris Oscuro No Certif.'!C4" display="PVC Gris Oscuro No Certificado" xr:uid="{00000000-0004-0000-0100-000005000000}"/>
    <hyperlink ref="C13" location="'PVC Colector'!C4" display="PVC Colector" xr:uid="{00000000-0004-0000-0100-000006000000}"/>
    <hyperlink ref="C14" location="'PVC Sanit Blanco'!C4" display="PVC Sanitario Blanco" xr:uid="{00000000-0004-0000-0100-000007000000}"/>
    <hyperlink ref="C15" location="'PVC Presión'!C4" display="PVC Presión" xr:uid="{00000000-0004-0000-0100-000008000000}"/>
    <hyperlink ref="C16" location="'Inst. Baño y Cocina'!C4" display="Instalación Baño y Cocina" xr:uid="{00000000-0004-0000-0100-000009000000}"/>
    <hyperlink ref="C17" location="'Canaletas Techo'!C4" display="PVC Canaletas Techo" xr:uid="{00000000-0004-0000-0100-00000A000000}"/>
    <hyperlink ref="C18" location="Riego!C4" display="Riego" xr:uid="{00000000-0004-0000-0100-00000B000000}"/>
    <hyperlink ref="C19" location="Mangueras!C4" display="Mangueras" xr:uid="{00000000-0004-0000-0100-00000C000000}"/>
    <hyperlink ref="C20" location="Bombas!C4" display="Bombas" xr:uid="{00000000-0004-0000-0100-00000D000000}"/>
    <hyperlink ref="C21" location="'PVC Conduit y Libre Halógeno'!C4" display="PVC Conduit" xr:uid="{00000000-0004-0000-0100-00000E000000}"/>
    <hyperlink ref="C22" location="'PVC Conduit y Libre Halógeno'!C45" display="Conduit Libre de Halógeno" xr:uid="{00000000-0004-0000-0100-00000F000000}"/>
    <hyperlink ref="C25" location="'Lista Cliente TOP todos prod.'!A1" display="Lista Completa (todas las categorías)" xr:uid="{00000000-0004-0000-0100-000010000000}"/>
  </hyperlink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33CCFF"/>
  </sheetPr>
  <dimension ref="A1:I1236"/>
  <sheetViews>
    <sheetView showGridLines="0" zoomScale="70" zoomScaleNormal="70" workbookViewId="0">
      <pane ySplit="2" topLeftCell="A3" activePane="bottomLeft" state="frozen"/>
      <selection pane="bottomLeft"/>
    </sheetView>
  </sheetViews>
  <sheetFormatPr baseColWidth="10" defaultColWidth="10.83203125" defaultRowHeight="15.75" customHeight="1" x14ac:dyDescent="0.2"/>
  <cols>
    <col min="1" max="1" width="22.5" style="10" customWidth="1"/>
    <col min="2" max="2" width="30.66406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0.83203125" style="10" customWidth="1"/>
    <col min="11" max="16384" width="10.83203125" style="10"/>
  </cols>
  <sheetData>
    <row r="1" spans="1:9" ht="50.25" customHeight="1" x14ac:dyDescent="0.2">
      <c r="A1" s="13" t="s">
        <v>36</v>
      </c>
      <c r="B1" s="118" t="s">
        <v>37</v>
      </c>
      <c r="C1" s="119"/>
      <c r="D1" s="119"/>
      <c r="E1" s="119"/>
      <c r="F1" s="119"/>
      <c r="G1" s="119"/>
      <c r="H1" s="119"/>
      <c r="I1" s="119"/>
    </row>
    <row r="2" spans="1:9" ht="59.25" customHeight="1" x14ac:dyDescent="0.2">
      <c r="A2" s="14" t="s">
        <v>7</v>
      </c>
      <c r="B2" s="14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</row>
    <row r="3" spans="1:9" ht="16.5" customHeight="1" x14ac:dyDescent="0.2">
      <c r="A3" s="18" t="s">
        <v>44</v>
      </c>
      <c r="B3" s="19" t="s">
        <v>18</v>
      </c>
      <c r="C3" s="20" t="s">
        <v>45</v>
      </c>
      <c r="D3" s="21" t="s">
        <v>46</v>
      </c>
      <c r="E3" s="103" t="e" vm="1">
        <v>#VALUE!</v>
      </c>
      <c r="F3" s="18">
        <v>11402</v>
      </c>
      <c r="G3" s="19" t="s">
        <v>47</v>
      </c>
      <c r="H3" s="18">
        <v>25</v>
      </c>
      <c r="I3" s="18" t="s">
        <v>48</v>
      </c>
    </row>
    <row r="4" spans="1:9" ht="16.5" customHeight="1" x14ac:dyDescent="0.2">
      <c r="A4" s="18" t="s">
        <v>44</v>
      </c>
      <c r="B4" s="19" t="s">
        <v>18</v>
      </c>
      <c r="C4" s="20" t="s">
        <v>45</v>
      </c>
      <c r="D4" s="21" t="s">
        <v>46</v>
      </c>
      <c r="E4" s="104"/>
      <c r="F4" s="18">
        <v>11403</v>
      </c>
      <c r="G4" s="19" t="s">
        <v>49</v>
      </c>
      <c r="H4" s="18">
        <v>20</v>
      </c>
      <c r="I4" s="18" t="s">
        <v>48</v>
      </c>
    </row>
    <row r="5" spans="1:9" ht="16.5" customHeight="1" x14ac:dyDescent="0.2">
      <c r="A5" s="18" t="s">
        <v>44</v>
      </c>
      <c r="B5" s="19" t="s">
        <v>18</v>
      </c>
      <c r="C5" s="20" t="s">
        <v>45</v>
      </c>
      <c r="D5" s="21" t="s">
        <v>46</v>
      </c>
      <c r="E5" s="104"/>
      <c r="F5" s="18">
        <v>11404</v>
      </c>
      <c r="G5" s="19" t="s">
        <v>50</v>
      </c>
      <c r="H5" s="18">
        <v>10</v>
      </c>
      <c r="I5" s="18" t="s">
        <v>48</v>
      </c>
    </row>
    <row r="6" spans="1:9" ht="16.5" customHeight="1" x14ac:dyDescent="0.2">
      <c r="A6" s="18" t="s">
        <v>44</v>
      </c>
      <c r="B6" s="19" t="s">
        <v>18</v>
      </c>
      <c r="C6" s="20" t="s">
        <v>45</v>
      </c>
      <c r="D6" s="21" t="s">
        <v>46</v>
      </c>
      <c r="E6" s="104"/>
      <c r="F6" s="18">
        <v>11405</v>
      </c>
      <c r="G6" s="19" t="s">
        <v>51</v>
      </c>
      <c r="H6" s="18">
        <v>1</v>
      </c>
      <c r="I6" s="18" t="s">
        <v>48</v>
      </c>
    </row>
    <row r="7" spans="1:9" ht="16.5" customHeight="1" x14ac:dyDescent="0.2">
      <c r="A7" s="18" t="s">
        <v>44</v>
      </c>
      <c r="B7" s="19" t="s">
        <v>18</v>
      </c>
      <c r="C7" s="20" t="s">
        <v>45</v>
      </c>
      <c r="D7" s="21" t="s">
        <v>46</v>
      </c>
      <c r="E7" s="104"/>
      <c r="F7" s="18">
        <v>11406</v>
      </c>
      <c r="G7" s="19" t="s">
        <v>52</v>
      </c>
      <c r="H7" s="18">
        <v>1</v>
      </c>
      <c r="I7" s="18" t="s">
        <v>48</v>
      </c>
    </row>
    <row r="8" spans="1:9" ht="16.5" customHeight="1" x14ac:dyDescent="0.2">
      <c r="A8" s="18" t="s">
        <v>44</v>
      </c>
      <c r="B8" s="19" t="s">
        <v>18</v>
      </c>
      <c r="C8" s="20" t="s">
        <v>45</v>
      </c>
      <c r="D8" s="21" t="s">
        <v>46</v>
      </c>
      <c r="E8" s="104"/>
      <c r="F8" s="18">
        <v>11407</v>
      </c>
      <c r="G8" s="19" t="s">
        <v>53</v>
      </c>
      <c r="H8" s="18">
        <v>1</v>
      </c>
      <c r="I8" s="18" t="s">
        <v>48</v>
      </c>
    </row>
    <row r="9" spans="1:9" ht="16.5" customHeight="1" x14ac:dyDescent="0.2">
      <c r="A9" s="18" t="s">
        <v>44</v>
      </c>
      <c r="B9" s="19" t="s">
        <v>18</v>
      </c>
      <c r="C9" s="20" t="s">
        <v>45</v>
      </c>
      <c r="D9" s="21" t="s">
        <v>46</v>
      </c>
      <c r="E9" s="104"/>
      <c r="F9" s="18">
        <v>11408</v>
      </c>
      <c r="G9" s="19" t="s">
        <v>54</v>
      </c>
      <c r="H9" s="18">
        <v>1</v>
      </c>
      <c r="I9" s="18" t="s">
        <v>48</v>
      </c>
    </row>
    <row r="10" spans="1:9" ht="16.5" customHeight="1" x14ac:dyDescent="0.2">
      <c r="A10" s="18" t="s">
        <v>44</v>
      </c>
      <c r="B10" s="19" t="s">
        <v>18</v>
      </c>
      <c r="C10" s="20" t="s">
        <v>45</v>
      </c>
      <c r="D10" s="21" t="s">
        <v>46</v>
      </c>
      <c r="E10" s="104"/>
      <c r="F10" s="18">
        <v>11409</v>
      </c>
      <c r="G10" s="19" t="s">
        <v>55</v>
      </c>
      <c r="H10" s="18">
        <v>1</v>
      </c>
      <c r="I10" s="18" t="s">
        <v>48</v>
      </c>
    </row>
    <row r="11" spans="1:9" ht="16.5" customHeight="1" x14ac:dyDescent="0.2">
      <c r="A11" s="18" t="s">
        <v>44</v>
      </c>
      <c r="B11" s="19" t="s">
        <v>18</v>
      </c>
      <c r="C11" s="20" t="s">
        <v>45</v>
      </c>
      <c r="D11" s="21" t="s">
        <v>46</v>
      </c>
      <c r="E11" s="105"/>
      <c r="F11" s="18">
        <v>11410</v>
      </c>
      <c r="G11" s="19" t="s">
        <v>56</v>
      </c>
      <c r="H11" s="18">
        <v>1</v>
      </c>
      <c r="I11" s="18" t="s">
        <v>48</v>
      </c>
    </row>
    <row r="12" spans="1:9" ht="15.75" customHeight="1" x14ac:dyDescent="0.2">
      <c r="A12" s="18" t="s">
        <v>44</v>
      </c>
      <c r="B12" s="20" t="s">
        <v>20</v>
      </c>
      <c r="C12" s="20" t="s">
        <v>57</v>
      </c>
      <c r="D12" s="21" t="s">
        <v>46</v>
      </c>
      <c r="E12" s="103" t="e" vm="2">
        <v>#VALUE!</v>
      </c>
      <c r="F12" s="18">
        <v>12002</v>
      </c>
      <c r="G12" s="19" t="s">
        <v>58</v>
      </c>
      <c r="H12" s="18">
        <v>25</v>
      </c>
      <c r="I12" s="18" t="s">
        <v>48</v>
      </c>
    </row>
    <row r="13" spans="1:9" ht="15.75" customHeight="1" x14ac:dyDescent="0.2">
      <c r="A13" s="18" t="s">
        <v>44</v>
      </c>
      <c r="B13" s="20" t="s">
        <v>20</v>
      </c>
      <c r="C13" s="20" t="s">
        <v>57</v>
      </c>
      <c r="D13" s="21" t="s">
        <v>46</v>
      </c>
      <c r="E13" s="104"/>
      <c r="F13" s="18">
        <v>12003</v>
      </c>
      <c r="G13" s="19" t="s">
        <v>59</v>
      </c>
      <c r="H13" s="18">
        <v>20</v>
      </c>
      <c r="I13" s="18" t="s">
        <v>48</v>
      </c>
    </row>
    <row r="14" spans="1:9" ht="15.75" customHeight="1" x14ac:dyDescent="0.2">
      <c r="A14" s="18" t="s">
        <v>44</v>
      </c>
      <c r="B14" s="20" t="s">
        <v>20</v>
      </c>
      <c r="C14" s="20" t="s">
        <v>57</v>
      </c>
      <c r="D14" s="21" t="s">
        <v>46</v>
      </c>
      <c r="E14" s="104"/>
      <c r="F14" s="18">
        <v>12004</v>
      </c>
      <c r="G14" s="19" t="s">
        <v>60</v>
      </c>
      <c r="H14" s="18">
        <v>10</v>
      </c>
      <c r="I14" s="18" t="s">
        <v>48</v>
      </c>
    </row>
    <row r="15" spans="1:9" ht="15.75" customHeight="1" x14ac:dyDescent="0.2">
      <c r="A15" s="18" t="s">
        <v>44</v>
      </c>
      <c r="B15" s="20" t="s">
        <v>20</v>
      </c>
      <c r="C15" s="20" t="s">
        <v>57</v>
      </c>
      <c r="D15" s="21" t="s">
        <v>46</v>
      </c>
      <c r="E15" s="104"/>
      <c r="F15" s="18">
        <v>12005</v>
      </c>
      <c r="G15" s="19" t="s">
        <v>61</v>
      </c>
      <c r="H15" s="18">
        <v>1</v>
      </c>
      <c r="I15" s="18" t="s">
        <v>48</v>
      </c>
    </row>
    <row r="16" spans="1:9" ht="15.75" customHeight="1" x14ac:dyDescent="0.2">
      <c r="A16" s="18" t="s">
        <v>44</v>
      </c>
      <c r="B16" s="20" t="s">
        <v>20</v>
      </c>
      <c r="C16" s="20" t="s">
        <v>57</v>
      </c>
      <c r="D16" s="21" t="s">
        <v>46</v>
      </c>
      <c r="E16" s="104"/>
      <c r="F16" s="18">
        <v>12006</v>
      </c>
      <c r="G16" s="19" t="s">
        <v>62</v>
      </c>
      <c r="H16" s="18">
        <v>1</v>
      </c>
      <c r="I16" s="18" t="s">
        <v>48</v>
      </c>
    </row>
    <row r="17" spans="1:9" ht="15.75" customHeight="1" x14ac:dyDescent="0.2">
      <c r="A17" s="18" t="s">
        <v>44</v>
      </c>
      <c r="B17" s="20" t="s">
        <v>20</v>
      </c>
      <c r="C17" s="20" t="s">
        <v>57</v>
      </c>
      <c r="D17" s="21" t="s">
        <v>46</v>
      </c>
      <c r="E17" s="104"/>
      <c r="F17" s="18">
        <v>12007</v>
      </c>
      <c r="G17" s="19" t="s">
        <v>63</v>
      </c>
      <c r="H17" s="18">
        <v>1</v>
      </c>
      <c r="I17" s="18" t="s">
        <v>48</v>
      </c>
    </row>
    <row r="18" spans="1:9" ht="15.75" customHeight="1" x14ac:dyDescent="0.2">
      <c r="A18" s="18" t="s">
        <v>44</v>
      </c>
      <c r="B18" s="20" t="s">
        <v>20</v>
      </c>
      <c r="C18" s="20" t="s">
        <v>57</v>
      </c>
      <c r="D18" s="21" t="s">
        <v>46</v>
      </c>
      <c r="E18" s="104"/>
      <c r="F18" s="18">
        <v>12008</v>
      </c>
      <c r="G18" s="19" t="s">
        <v>64</v>
      </c>
      <c r="H18" s="18">
        <v>1</v>
      </c>
      <c r="I18" s="18" t="s">
        <v>48</v>
      </c>
    </row>
    <row r="19" spans="1:9" ht="15.75" customHeight="1" x14ac:dyDescent="0.2">
      <c r="A19" s="18" t="s">
        <v>44</v>
      </c>
      <c r="B19" s="20" t="s">
        <v>20</v>
      </c>
      <c r="C19" s="20" t="s">
        <v>57</v>
      </c>
      <c r="D19" s="21" t="s">
        <v>46</v>
      </c>
      <c r="E19" s="104"/>
      <c r="F19" s="18">
        <v>12009</v>
      </c>
      <c r="G19" s="19" t="s">
        <v>65</v>
      </c>
      <c r="H19" s="18">
        <v>1</v>
      </c>
      <c r="I19" s="18" t="s">
        <v>48</v>
      </c>
    </row>
    <row r="20" spans="1:9" ht="15.75" customHeight="1" x14ac:dyDescent="0.2">
      <c r="A20" s="18" t="s">
        <v>44</v>
      </c>
      <c r="B20" s="20" t="s">
        <v>20</v>
      </c>
      <c r="C20" s="20" t="s">
        <v>57</v>
      </c>
      <c r="D20" s="21" t="s">
        <v>46</v>
      </c>
      <c r="E20" s="105"/>
      <c r="F20" s="18">
        <v>12010</v>
      </c>
      <c r="G20" s="19" t="s">
        <v>66</v>
      </c>
      <c r="H20" s="18">
        <v>1</v>
      </c>
      <c r="I20" s="18" t="s">
        <v>48</v>
      </c>
    </row>
    <row r="21" spans="1:9" ht="15.75" customHeight="1" x14ac:dyDescent="0.2">
      <c r="A21" s="18" t="s">
        <v>44</v>
      </c>
      <c r="B21" s="20" t="s">
        <v>20</v>
      </c>
      <c r="C21" s="20" t="s">
        <v>57</v>
      </c>
      <c r="D21" s="21" t="s">
        <v>46</v>
      </c>
      <c r="E21" s="103" t="e" vm="3">
        <v>#VALUE!</v>
      </c>
      <c r="F21" s="18">
        <v>12102</v>
      </c>
      <c r="G21" s="19" t="s">
        <v>67</v>
      </c>
      <c r="H21" s="18">
        <v>25</v>
      </c>
      <c r="I21" s="18" t="s">
        <v>48</v>
      </c>
    </row>
    <row r="22" spans="1:9" ht="15.75" customHeight="1" x14ac:dyDescent="0.2">
      <c r="A22" s="18" t="s">
        <v>44</v>
      </c>
      <c r="B22" s="20" t="s">
        <v>20</v>
      </c>
      <c r="C22" s="20" t="s">
        <v>57</v>
      </c>
      <c r="D22" s="21" t="s">
        <v>46</v>
      </c>
      <c r="E22" s="104"/>
      <c r="F22" s="18">
        <v>12103</v>
      </c>
      <c r="G22" s="19" t="s">
        <v>68</v>
      </c>
      <c r="H22" s="18">
        <v>20</v>
      </c>
      <c r="I22" s="18" t="s">
        <v>48</v>
      </c>
    </row>
    <row r="23" spans="1:9" ht="15.75" customHeight="1" x14ac:dyDescent="0.2">
      <c r="A23" s="18" t="s">
        <v>44</v>
      </c>
      <c r="B23" s="20" t="s">
        <v>20</v>
      </c>
      <c r="C23" s="20" t="s">
        <v>57</v>
      </c>
      <c r="D23" s="21" t="s">
        <v>46</v>
      </c>
      <c r="E23" s="104"/>
      <c r="F23" s="18">
        <v>12104</v>
      </c>
      <c r="G23" s="19" t="s">
        <v>69</v>
      </c>
      <c r="H23" s="18">
        <v>10</v>
      </c>
      <c r="I23" s="18" t="s">
        <v>48</v>
      </c>
    </row>
    <row r="24" spans="1:9" ht="15.75" customHeight="1" x14ac:dyDescent="0.2">
      <c r="A24" s="18" t="s">
        <v>44</v>
      </c>
      <c r="B24" s="20" t="s">
        <v>20</v>
      </c>
      <c r="C24" s="20" t="s">
        <v>57</v>
      </c>
      <c r="D24" s="21" t="s">
        <v>46</v>
      </c>
      <c r="E24" s="104"/>
      <c r="F24" s="18">
        <v>12105</v>
      </c>
      <c r="G24" s="19" t="s">
        <v>70</v>
      </c>
      <c r="H24" s="18">
        <v>1</v>
      </c>
      <c r="I24" s="18" t="s">
        <v>48</v>
      </c>
    </row>
    <row r="25" spans="1:9" ht="15.75" customHeight="1" x14ac:dyDescent="0.2">
      <c r="A25" s="18" t="s">
        <v>44</v>
      </c>
      <c r="B25" s="20" t="s">
        <v>20</v>
      </c>
      <c r="C25" s="20" t="s">
        <v>57</v>
      </c>
      <c r="D25" s="21" t="s">
        <v>46</v>
      </c>
      <c r="E25" s="104"/>
      <c r="F25" s="18">
        <v>12106</v>
      </c>
      <c r="G25" s="19" t="s">
        <v>71</v>
      </c>
      <c r="H25" s="18">
        <v>1</v>
      </c>
      <c r="I25" s="18" t="s">
        <v>48</v>
      </c>
    </row>
    <row r="26" spans="1:9" ht="15.75" customHeight="1" x14ac:dyDescent="0.2">
      <c r="A26" s="18" t="s">
        <v>44</v>
      </c>
      <c r="B26" s="20" t="s">
        <v>20</v>
      </c>
      <c r="C26" s="20" t="s">
        <v>57</v>
      </c>
      <c r="D26" s="21" t="s">
        <v>46</v>
      </c>
      <c r="E26" s="104"/>
      <c r="F26" s="18">
        <v>12107</v>
      </c>
      <c r="G26" s="19" t="s">
        <v>72</v>
      </c>
      <c r="H26" s="18">
        <v>1</v>
      </c>
      <c r="I26" s="18" t="s">
        <v>48</v>
      </c>
    </row>
    <row r="27" spans="1:9" ht="15.75" customHeight="1" x14ac:dyDescent="0.2">
      <c r="A27" s="18" t="s">
        <v>44</v>
      </c>
      <c r="B27" s="20" t="s">
        <v>20</v>
      </c>
      <c r="C27" s="20" t="s">
        <v>57</v>
      </c>
      <c r="D27" s="21" t="s">
        <v>46</v>
      </c>
      <c r="E27" s="104"/>
      <c r="F27" s="18">
        <v>12108</v>
      </c>
      <c r="G27" s="19" t="s">
        <v>73</v>
      </c>
      <c r="H27" s="18">
        <v>1</v>
      </c>
      <c r="I27" s="18" t="s">
        <v>48</v>
      </c>
    </row>
    <row r="28" spans="1:9" ht="15.75" customHeight="1" x14ac:dyDescent="0.2">
      <c r="A28" s="18" t="s">
        <v>44</v>
      </c>
      <c r="B28" s="20" t="s">
        <v>20</v>
      </c>
      <c r="C28" s="20" t="s">
        <v>57</v>
      </c>
      <c r="D28" s="21" t="s">
        <v>46</v>
      </c>
      <c r="E28" s="104"/>
      <c r="F28" s="18">
        <v>12109</v>
      </c>
      <c r="G28" s="19" t="s">
        <v>74</v>
      </c>
      <c r="H28" s="18">
        <v>1</v>
      </c>
      <c r="I28" s="18" t="s">
        <v>48</v>
      </c>
    </row>
    <row r="29" spans="1:9" ht="15.75" customHeight="1" x14ac:dyDescent="0.2">
      <c r="A29" s="18" t="s">
        <v>44</v>
      </c>
      <c r="B29" s="20" t="s">
        <v>20</v>
      </c>
      <c r="C29" s="20" t="s">
        <v>57</v>
      </c>
      <c r="D29" s="21" t="s">
        <v>46</v>
      </c>
      <c r="E29" s="105"/>
      <c r="F29" s="18">
        <v>12110</v>
      </c>
      <c r="G29" s="19" t="s">
        <v>75</v>
      </c>
      <c r="H29" s="18">
        <v>1</v>
      </c>
      <c r="I29" s="18" t="s">
        <v>48</v>
      </c>
    </row>
    <row r="30" spans="1:9" ht="15.75" customHeight="1" x14ac:dyDescent="0.2">
      <c r="A30" s="18" t="s">
        <v>44</v>
      </c>
      <c r="B30" s="20" t="s">
        <v>20</v>
      </c>
      <c r="C30" s="20" t="s">
        <v>76</v>
      </c>
      <c r="D30" s="21" t="s">
        <v>77</v>
      </c>
      <c r="E30" s="103" t="e" vm="4">
        <v>#VALUE!</v>
      </c>
      <c r="F30" s="18">
        <v>331202</v>
      </c>
      <c r="G30" s="19" t="s">
        <v>78</v>
      </c>
      <c r="H30" s="18">
        <v>40</v>
      </c>
      <c r="I30" s="18" t="s">
        <v>48</v>
      </c>
    </row>
    <row r="31" spans="1:9" ht="15.75" customHeight="1" x14ac:dyDescent="0.2">
      <c r="A31" s="18" t="s">
        <v>44</v>
      </c>
      <c r="B31" s="20" t="s">
        <v>20</v>
      </c>
      <c r="C31" s="20" t="s">
        <v>76</v>
      </c>
      <c r="D31" s="21" t="s">
        <v>77</v>
      </c>
      <c r="E31" s="104"/>
      <c r="F31" s="18">
        <v>331203</v>
      </c>
      <c r="G31" s="19" t="s">
        <v>79</v>
      </c>
      <c r="H31" s="18">
        <v>25</v>
      </c>
      <c r="I31" s="18" t="s">
        <v>48</v>
      </c>
    </row>
    <row r="32" spans="1:9" ht="15.75" customHeight="1" x14ac:dyDescent="0.2">
      <c r="A32" s="18" t="s">
        <v>44</v>
      </c>
      <c r="B32" s="20" t="s">
        <v>20</v>
      </c>
      <c r="C32" s="20" t="s">
        <v>76</v>
      </c>
      <c r="D32" s="21" t="s">
        <v>77</v>
      </c>
      <c r="E32" s="104"/>
      <c r="F32" s="18">
        <v>331204</v>
      </c>
      <c r="G32" s="19" t="s">
        <v>80</v>
      </c>
      <c r="H32" s="18">
        <v>10</v>
      </c>
      <c r="I32" s="18" t="s">
        <v>48</v>
      </c>
    </row>
    <row r="33" spans="1:9" ht="15.75" customHeight="1" x14ac:dyDescent="0.2">
      <c r="A33" s="18" t="s">
        <v>44</v>
      </c>
      <c r="B33" s="20" t="s">
        <v>20</v>
      </c>
      <c r="C33" s="20" t="s">
        <v>76</v>
      </c>
      <c r="D33" s="21" t="s">
        <v>77</v>
      </c>
      <c r="E33" s="104"/>
      <c r="F33" s="18">
        <v>331205</v>
      </c>
      <c r="G33" s="19" t="s">
        <v>81</v>
      </c>
      <c r="H33" s="18">
        <v>10</v>
      </c>
      <c r="I33" s="18" t="s">
        <v>48</v>
      </c>
    </row>
    <row r="34" spans="1:9" ht="15.75" customHeight="1" x14ac:dyDescent="0.2">
      <c r="A34" s="18" t="s">
        <v>44</v>
      </c>
      <c r="B34" s="20" t="s">
        <v>20</v>
      </c>
      <c r="C34" s="20" t="s">
        <v>76</v>
      </c>
      <c r="D34" s="21" t="s">
        <v>77</v>
      </c>
      <c r="E34" s="104"/>
      <c r="F34" s="18">
        <v>331206</v>
      </c>
      <c r="G34" s="19" t="s">
        <v>82</v>
      </c>
      <c r="H34" s="18">
        <v>9</v>
      </c>
      <c r="I34" s="18" t="s">
        <v>48</v>
      </c>
    </row>
    <row r="35" spans="1:9" ht="15.75" customHeight="1" x14ac:dyDescent="0.2">
      <c r="A35" s="18" t="s">
        <v>44</v>
      </c>
      <c r="B35" s="20" t="s">
        <v>20</v>
      </c>
      <c r="C35" s="20" t="s">
        <v>76</v>
      </c>
      <c r="D35" s="21" t="s">
        <v>77</v>
      </c>
      <c r="E35" s="104"/>
      <c r="F35" s="18">
        <v>331207</v>
      </c>
      <c r="G35" s="19" t="s">
        <v>83</v>
      </c>
      <c r="H35" s="18">
        <v>9</v>
      </c>
      <c r="I35" s="18" t="s">
        <v>48</v>
      </c>
    </row>
    <row r="36" spans="1:9" ht="15.75" customHeight="1" x14ac:dyDescent="0.2">
      <c r="A36" s="18" t="s">
        <v>44</v>
      </c>
      <c r="B36" s="20" t="s">
        <v>20</v>
      </c>
      <c r="C36" s="20" t="s">
        <v>76</v>
      </c>
      <c r="D36" s="21" t="s">
        <v>77</v>
      </c>
      <c r="E36" s="104"/>
      <c r="F36" s="18">
        <v>331208</v>
      </c>
      <c r="G36" s="19" t="s">
        <v>84</v>
      </c>
      <c r="H36" s="18">
        <v>6</v>
      </c>
      <c r="I36" s="18" t="s">
        <v>48</v>
      </c>
    </row>
    <row r="37" spans="1:9" ht="15.75" customHeight="1" x14ac:dyDescent="0.2">
      <c r="A37" s="18" t="s">
        <v>44</v>
      </c>
      <c r="B37" s="20" t="s">
        <v>20</v>
      </c>
      <c r="C37" s="20" t="s">
        <v>76</v>
      </c>
      <c r="D37" s="21" t="s">
        <v>77</v>
      </c>
      <c r="E37" s="104"/>
      <c r="F37" s="18">
        <v>331209</v>
      </c>
      <c r="G37" s="19" t="s">
        <v>85</v>
      </c>
      <c r="H37" s="18">
        <v>1</v>
      </c>
      <c r="I37" s="18" t="s">
        <v>48</v>
      </c>
    </row>
    <row r="38" spans="1:9" ht="15.75" customHeight="1" x14ac:dyDescent="0.2">
      <c r="A38" s="18" t="s">
        <v>44</v>
      </c>
      <c r="B38" s="20" t="s">
        <v>20</v>
      </c>
      <c r="C38" s="20" t="s">
        <v>76</v>
      </c>
      <c r="D38" s="21" t="s">
        <v>77</v>
      </c>
      <c r="E38" s="105"/>
      <c r="F38" s="18">
        <v>331210</v>
      </c>
      <c r="G38" s="19" t="s">
        <v>86</v>
      </c>
      <c r="H38" s="18">
        <v>1</v>
      </c>
      <c r="I38" s="18" t="s">
        <v>48</v>
      </c>
    </row>
    <row r="39" spans="1:9" ht="15.75" customHeight="1" x14ac:dyDescent="0.2">
      <c r="A39" s="18" t="s">
        <v>44</v>
      </c>
      <c r="B39" s="20" t="s">
        <v>20</v>
      </c>
      <c r="C39" s="20" t="s">
        <v>76</v>
      </c>
      <c r="D39" s="21" t="s">
        <v>77</v>
      </c>
      <c r="E39" s="103" t="e" vm="5">
        <v>#VALUE!</v>
      </c>
      <c r="F39" s="18">
        <v>331102</v>
      </c>
      <c r="G39" s="19" t="s">
        <v>87</v>
      </c>
      <c r="H39" s="18">
        <v>60</v>
      </c>
      <c r="I39" s="18" t="s">
        <v>48</v>
      </c>
    </row>
    <row r="40" spans="1:9" ht="15.75" customHeight="1" x14ac:dyDescent="0.2">
      <c r="A40" s="18" t="s">
        <v>44</v>
      </c>
      <c r="B40" s="20" t="s">
        <v>20</v>
      </c>
      <c r="C40" s="20" t="s">
        <v>76</v>
      </c>
      <c r="D40" s="21" t="s">
        <v>77</v>
      </c>
      <c r="E40" s="104"/>
      <c r="F40" s="18">
        <v>331103</v>
      </c>
      <c r="G40" s="19" t="s">
        <v>88</v>
      </c>
      <c r="H40" s="18">
        <v>20</v>
      </c>
      <c r="I40" s="18" t="s">
        <v>48</v>
      </c>
    </row>
    <row r="41" spans="1:9" ht="15.75" customHeight="1" x14ac:dyDescent="0.2">
      <c r="A41" s="18" t="s">
        <v>44</v>
      </c>
      <c r="B41" s="20" t="s">
        <v>20</v>
      </c>
      <c r="C41" s="20" t="s">
        <v>76</v>
      </c>
      <c r="D41" s="21" t="s">
        <v>77</v>
      </c>
      <c r="E41" s="104"/>
      <c r="F41" s="18">
        <v>331104</v>
      </c>
      <c r="G41" s="19" t="s">
        <v>89</v>
      </c>
      <c r="H41" s="18">
        <v>20</v>
      </c>
      <c r="I41" s="18" t="s">
        <v>48</v>
      </c>
    </row>
    <row r="42" spans="1:9" ht="15.75" customHeight="1" x14ac:dyDescent="0.2">
      <c r="A42" s="18" t="s">
        <v>44</v>
      </c>
      <c r="B42" s="20" t="s">
        <v>20</v>
      </c>
      <c r="C42" s="20" t="s">
        <v>76</v>
      </c>
      <c r="D42" s="21" t="s">
        <v>77</v>
      </c>
      <c r="E42" s="104"/>
      <c r="F42" s="18">
        <v>331105</v>
      </c>
      <c r="G42" s="19" t="s">
        <v>90</v>
      </c>
      <c r="H42" s="18">
        <v>10</v>
      </c>
      <c r="I42" s="18" t="s">
        <v>48</v>
      </c>
    </row>
    <row r="43" spans="1:9" ht="15.75" customHeight="1" x14ac:dyDescent="0.2">
      <c r="A43" s="18" t="s">
        <v>44</v>
      </c>
      <c r="B43" s="20" t="s">
        <v>20</v>
      </c>
      <c r="C43" s="20" t="s">
        <v>76</v>
      </c>
      <c r="D43" s="21" t="s">
        <v>77</v>
      </c>
      <c r="E43" s="104"/>
      <c r="F43" s="18">
        <v>331106</v>
      </c>
      <c r="G43" s="19" t="s">
        <v>91</v>
      </c>
      <c r="H43" s="18">
        <v>9</v>
      </c>
      <c r="I43" s="18" t="s">
        <v>48</v>
      </c>
    </row>
    <row r="44" spans="1:9" ht="15.75" customHeight="1" x14ac:dyDescent="0.2">
      <c r="A44" s="18" t="s">
        <v>44</v>
      </c>
      <c r="B44" s="20" t="s">
        <v>20</v>
      </c>
      <c r="C44" s="20" t="s">
        <v>76</v>
      </c>
      <c r="D44" s="21" t="s">
        <v>77</v>
      </c>
      <c r="E44" s="104"/>
      <c r="F44" s="18">
        <v>331107</v>
      </c>
      <c r="G44" s="19" t="s">
        <v>92</v>
      </c>
      <c r="H44" s="18">
        <v>6</v>
      </c>
      <c r="I44" s="18" t="s">
        <v>48</v>
      </c>
    </row>
    <row r="45" spans="1:9" ht="15.75" customHeight="1" x14ac:dyDescent="0.2">
      <c r="A45" s="18" t="s">
        <v>44</v>
      </c>
      <c r="B45" s="20" t="s">
        <v>20</v>
      </c>
      <c r="C45" s="20" t="s">
        <v>76</v>
      </c>
      <c r="D45" s="21" t="s">
        <v>77</v>
      </c>
      <c r="E45" s="104"/>
      <c r="F45" s="18">
        <v>331108</v>
      </c>
      <c r="G45" s="19" t="s">
        <v>93</v>
      </c>
      <c r="H45" s="18">
        <v>4</v>
      </c>
      <c r="I45" s="18" t="s">
        <v>48</v>
      </c>
    </row>
    <row r="46" spans="1:9" ht="15.75" customHeight="1" x14ac:dyDescent="0.2">
      <c r="A46" s="18" t="s">
        <v>44</v>
      </c>
      <c r="B46" s="20" t="s">
        <v>20</v>
      </c>
      <c r="C46" s="20" t="s">
        <v>76</v>
      </c>
      <c r="D46" s="21" t="s">
        <v>77</v>
      </c>
      <c r="E46" s="104"/>
      <c r="F46" s="18">
        <v>331109</v>
      </c>
      <c r="G46" s="19" t="s">
        <v>94</v>
      </c>
      <c r="H46" s="18">
        <v>2</v>
      </c>
      <c r="I46" s="18" t="s">
        <v>48</v>
      </c>
    </row>
    <row r="47" spans="1:9" ht="15.75" customHeight="1" x14ac:dyDescent="0.2">
      <c r="A47" s="18" t="s">
        <v>44</v>
      </c>
      <c r="B47" s="20" t="s">
        <v>20</v>
      </c>
      <c r="C47" s="20" t="s">
        <v>76</v>
      </c>
      <c r="D47" s="21" t="s">
        <v>77</v>
      </c>
      <c r="E47" s="105"/>
      <c r="F47" s="18">
        <v>331110</v>
      </c>
      <c r="G47" s="19" t="s">
        <v>95</v>
      </c>
      <c r="H47" s="18">
        <v>1</v>
      </c>
      <c r="I47" s="18" t="s">
        <v>48</v>
      </c>
    </row>
    <row r="48" spans="1:9" ht="15.75" customHeight="1" x14ac:dyDescent="0.2">
      <c r="A48" s="18" t="s">
        <v>44</v>
      </c>
      <c r="B48" s="20" t="s">
        <v>20</v>
      </c>
      <c r="C48" s="20" t="s">
        <v>76</v>
      </c>
      <c r="D48" s="21" t="s">
        <v>77</v>
      </c>
      <c r="E48" s="103" t="e" vm="6">
        <v>#VALUE!</v>
      </c>
      <c r="F48" s="18">
        <v>332302</v>
      </c>
      <c r="G48" s="19" t="s">
        <v>96</v>
      </c>
      <c r="H48" s="18">
        <v>10</v>
      </c>
      <c r="I48" s="18" t="s">
        <v>48</v>
      </c>
    </row>
    <row r="49" spans="1:9" ht="15.75" customHeight="1" x14ac:dyDescent="0.2">
      <c r="A49" s="18" t="s">
        <v>44</v>
      </c>
      <c r="B49" s="20" t="s">
        <v>20</v>
      </c>
      <c r="C49" s="20" t="s">
        <v>76</v>
      </c>
      <c r="D49" s="21" t="s">
        <v>77</v>
      </c>
      <c r="E49" s="104"/>
      <c r="F49" s="18">
        <v>332308</v>
      </c>
      <c r="G49" s="19" t="s">
        <v>97</v>
      </c>
      <c r="H49" s="18">
        <v>10</v>
      </c>
      <c r="I49" s="18" t="s">
        <v>48</v>
      </c>
    </row>
    <row r="50" spans="1:9" ht="15.75" customHeight="1" x14ac:dyDescent="0.2">
      <c r="A50" s="18" t="s">
        <v>44</v>
      </c>
      <c r="B50" s="20" t="s">
        <v>20</v>
      </c>
      <c r="C50" s="20" t="s">
        <v>76</v>
      </c>
      <c r="D50" s="21" t="s">
        <v>77</v>
      </c>
      <c r="E50" s="104"/>
      <c r="F50" s="18">
        <v>332303</v>
      </c>
      <c r="G50" s="19" t="s">
        <v>98</v>
      </c>
      <c r="H50" s="18">
        <v>10</v>
      </c>
      <c r="I50" s="18" t="s">
        <v>48</v>
      </c>
    </row>
    <row r="51" spans="1:9" ht="15.75" customHeight="1" x14ac:dyDescent="0.2">
      <c r="A51" s="18" t="s">
        <v>44</v>
      </c>
      <c r="B51" s="20" t="s">
        <v>20</v>
      </c>
      <c r="C51" s="20" t="s">
        <v>76</v>
      </c>
      <c r="D51" s="21" t="s">
        <v>77</v>
      </c>
      <c r="E51" s="104"/>
      <c r="F51" s="18">
        <v>332304</v>
      </c>
      <c r="G51" s="19" t="s">
        <v>99</v>
      </c>
      <c r="H51" s="18">
        <v>10</v>
      </c>
      <c r="I51" s="18" t="s">
        <v>48</v>
      </c>
    </row>
    <row r="52" spans="1:9" ht="15.75" customHeight="1" x14ac:dyDescent="0.2">
      <c r="A52" s="18" t="s">
        <v>44</v>
      </c>
      <c r="B52" s="20" t="s">
        <v>20</v>
      </c>
      <c r="C52" s="20" t="s">
        <v>76</v>
      </c>
      <c r="D52" s="21" t="s">
        <v>77</v>
      </c>
      <c r="E52" s="104"/>
      <c r="F52" s="18">
        <v>332306</v>
      </c>
      <c r="G52" s="19" t="s">
        <v>100</v>
      </c>
      <c r="H52" s="18">
        <v>10</v>
      </c>
      <c r="I52" s="18" t="s">
        <v>48</v>
      </c>
    </row>
    <row r="53" spans="1:9" ht="15.75" customHeight="1" x14ac:dyDescent="0.2">
      <c r="A53" s="18" t="s">
        <v>44</v>
      </c>
      <c r="B53" s="20" t="s">
        <v>20</v>
      </c>
      <c r="C53" s="20" t="s">
        <v>76</v>
      </c>
      <c r="D53" s="21" t="s">
        <v>77</v>
      </c>
      <c r="E53" s="104"/>
      <c r="F53" s="18">
        <v>332307</v>
      </c>
      <c r="G53" s="19" t="s">
        <v>101</v>
      </c>
      <c r="H53" s="18">
        <v>10</v>
      </c>
      <c r="I53" s="18" t="s">
        <v>48</v>
      </c>
    </row>
    <row r="54" spans="1:9" ht="15.75" customHeight="1" x14ac:dyDescent="0.2">
      <c r="A54" s="18" t="s">
        <v>44</v>
      </c>
      <c r="B54" s="20" t="s">
        <v>20</v>
      </c>
      <c r="C54" s="20" t="s">
        <v>76</v>
      </c>
      <c r="D54" s="21" t="s">
        <v>77</v>
      </c>
      <c r="E54" s="105"/>
      <c r="F54" s="18">
        <v>332305</v>
      </c>
      <c r="G54" s="19" t="s">
        <v>102</v>
      </c>
      <c r="H54" s="18">
        <v>10</v>
      </c>
      <c r="I54" s="18" t="s">
        <v>48</v>
      </c>
    </row>
    <row r="55" spans="1:9" ht="15.75" customHeight="1" x14ac:dyDescent="0.2">
      <c r="A55" s="18" t="s">
        <v>44</v>
      </c>
      <c r="B55" s="20" t="s">
        <v>20</v>
      </c>
      <c r="C55" s="20" t="s">
        <v>76</v>
      </c>
      <c r="D55" s="21" t="s">
        <v>77</v>
      </c>
      <c r="E55" s="103" t="e" vm="7">
        <v>#VALUE!</v>
      </c>
      <c r="F55" s="18">
        <v>331902</v>
      </c>
      <c r="G55" s="19" t="s">
        <v>103</v>
      </c>
      <c r="H55" s="18">
        <v>10</v>
      </c>
      <c r="I55" s="18" t="s">
        <v>48</v>
      </c>
    </row>
    <row r="56" spans="1:9" ht="15.75" customHeight="1" x14ac:dyDescent="0.2">
      <c r="A56" s="18" t="s">
        <v>44</v>
      </c>
      <c r="B56" s="20" t="s">
        <v>20</v>
      </c>
      <c r="C56" s="20" t="s">
        <v>76</v>
      </c>
      <c r="D56" s="21" t="s">
        <v>77</v>
      </c>
      <c r="E56" s="104"/>
      <c r="F56" s="18">
        <v>331908</v>
      </c>
      <c r="G56" s="19" t="s">
        <v>104</v>
      </c>
      <c r="H56" s="18">
        <v>10</v>
      </c>
      <c r="I56" s="18" t="s">
        <v>48</v>
      </c>
    </row>
    <row r="57" spans="1:9" ht="15.75" customHeight="1" x14ac:dyDescent="0.2">
      <c r="A57" s="18" t="s">
        <v>44</v>
      </c>
      <c r="B57" s="20" t="s">
        <v>20</v>
      </c>
      <c r="C57" s="20" t="s">
        <v>76</v>
      </c>
      <c r="D57" s="21" t="s">
        <v>77</v>
      </c>
      <c r="E57" s="104"/>
      <c r="F57" s="18">
        <v>331903</v>
      </c>
      <c r="G57" s="19" t="s">
        <v>105</v>
      </c>
      <c r="H57" s="18">
        <v>10</v>
      </c>
      <c r="I57" s="18" t="s">
        <v>48</v>
      </c>
    </row>
    <row r="58" spans="1:9" ht="15.75" customHeight="1" x14ac:dyDescent="0.2">
      <c r="A58" s="18" t="s">
        <v>44</v>
      </c>
      <c r="B58" s="20" t="s">
        <v>20</v>
      </c>
      <c r="C58" s="20" t="s">
        <v>76</v>
      </c>
      <c r="D58" s="21" t="s">
        <v>77</v>
      </c>
      <c r="E58" s="104"/>
      <c r="F58" s="18">
        <v>331904</v>
      </c>
      <c r="G58" s="19" t="s">
        <v>106</v>
      </c>
      <c r="H58" s="18">
        <v>10</v>
      </c>
      <c r="I58" s="18" t="s">
        <v>48</v>
      </c>
    </row>
    <row r="59" spans="1:9" ht="15.75" customHeight="1" x14ac:dyDescent="0.2">
      <c r="A59" s="18" t="s">
        <v>44</v>
      </c>
      <c r="B59" s="20" t="s">
        <v>20</v>
      </c>
      <c r="C59" s="20" t="s">
        <v>76</v>
      </c>
      <c r="D59" s="21" t="s">
        <v>77</v>
      </c>
      <c r="E59" s="104"/>
      <c r="F59" s="18">
        <v>331906</v>
      </c>
      <c r="G59" s="19" t="s">
        <v>107</v>
      </c>
      <c r="H59" s="18">
        <v>10</v>
      </c>
      <c r="I59" s="18" t="s">
        <v>48</v>
      </c>
    </row>
    <row r="60" spans="1:9" ht="15.75" customHeight="1" x14ac:dyDescent="0.2">
      <c r="A60" s="18" t="s">
        <v>44</v>
      </c>
      <c r="B60" s="20" t="s">
        <v>20</v>
      </c>
      <c r="C60" s="20" t="s">
        <v>76</v>
      </c>
      <c r="D60" s="21" t="s">
        <v>77</v>
      </c>
      <c r="E60" s="104"/>
      <c r="F60" s="18">
        <v>331907</v>
      </c>
      <c r="G60" s="19" t="s">
        <v>108</v>
      </c>
      <c r="H60" s="18">
        <v>10</v>
      </c>
      <c r="I60" s="18" t="s">
        <v>48</v>
      </c>
    </row>
    <row r="61" spans="1:9" ht="15.75" customHeight="1" x14ac:dyDescent="0.2">
      <c r="A61" s="18" t="s">
        <v>44</v>
      </c>
      <c r="B61" s="20" t="s">
        <v>20</v>
      </c>
      <c r="C61" s="20" t="s">
        <v>76</v>
      </c>
      <c r="D61" s="21" t="s">
        <v>77</v>
      </c>
      <c r="E61" s="105"/>
      <c r="F61" s="18">
        <v>331905</v>
      </c>
      <c r="G61" s="19" t="s">
        <v>109</v>
      </c>
      <c r="H61" s="18">
        <v>10</v>
      </c>
      <c r="I61" s="18" t="s">
        <v>48</v>
      </c>
    </row>
    <row r="62" spans="1:9" ht="22.5" customHeight="1" x14ac:dyDescent="0.2">
      <c r="A62" s="18" t="s">
        <v>44</v>
      </c>
      <c r="B62" s="20" t="s">
        <v>20</v>
      </c>
      <c r="C62" s="20" t="s">
        <v>76</v>
      </c>
      <c r="D62" s="21" t="s">
        <v>77</v>
      </c>
      <c r="E62" s="103" t="e" vm="8">
        <v>#VALUE!</v>
      </c>
      <c r="F62" s="18">
        <v>331702</v>
      </c>
      <c r="G62" s="19" t="s">
        <v>110</v>
      </c>
      <c r="H62" s="18">
        <v>25</v>
      </c>
      <c r="I62" s="18" t="s">
        <v>48</v>
      </c>
    </row>
    <row r="63" spans="1:9" ht="22.5" customHeight="1" x14ac:dyDescent="0.2">
      <c r="A63" s="18" t="s">
        <v>44</v>
      </c>
      <c r="B63" s="20" t="s">
        <v>20</v>
      </c>
      <c r="C63" s="20" t="s">
        <v>76</v>
      </c>
      <c r="D63" s="21" t="s">
        <v>77</v>
      </c>
      <c r="E63" s="104"/>
      <c r="F63" s="18">
        <v>331703</v>
      </c>
      <c r="G63" s="19" t="s">
        <v>111</v>
      </c>
      <c r="H63" s="18">
        <v>20</v>
      </c>
      <c r="I63" s="18" t="s">
        <v>48</v>
      </c>
    </row>
    <row r="64" spans="1:9" ht="22.5" customHeight="1" x14ac:dyDescent="0.2">
      <c r="A64" s="18" t="s">
        <v>44</v>
      </c>
      <c r="B64" s="20" t="s">
        <v>20</v>
      </c>
      <c r="C64" s="20" t="s">
        <v>76</v>
      </c>
      <c r="D64" s="21" t="s">
        <v>77</v>
      </c>
      <c r="E64" s="105"/>
      <c r="F64" s="18">
        <v>331704</v>
      </c>
      <c r="G64" s="19" t="s">
        <v>112</v>
      </c>
      <c r="H64" s="18">
        <v>20</v>
      </c>
      <c r="I64" s="18" t="s">
        <v>48</v>
      </c>
    </row>
    <row r="65" spans="1:9" ht="21" customHeight="1" x14ac:dyDescent="0.2">
      <c r="A65" s="18" t="s">
        <v>44</v>
      </c>
      <c r="B65" s="20" t="s">
        <v>20</v>
      </c>
      <c r="C65" s="20" t="s">
        <v>76</v>
      </c>
      <c r="D65" s="21" t="s">
        <v>77</v>
      </c>
      <c r="E65" s="103" t="e" vm="9">
        <v>#VALUE!</v>
      </c>
      <c r="F65" s="18">
        <v>332202</v>
      </c>
      <c r="G65" s="19" t="s">
        <v>113</v>
      </c>
      <c r="H65" s="18">
        <v>9</v>
      </c>
      <c r="I65" s="18" t="s">
        <v>48</v>
      </c>
    </row>
    <row r="66" spans="1:9" ht="21" customHeight="1" x14ac:dyDescent="0.2">
      <c r="A66" s="18" t="s">
        <v>44</v>
      </c>
      <c r="B66" s="20" t="s">
        <v>20</v>
      </c>
      <c r="C66" s="20" t="s">
        <v>76</v>
      </c>
      <c r="D66" s="21" t="s">
        <v>77</v>
      </c>
      <c r="E66" s="104"/>
      <c r="F66" s="18">
        <v>332203</v>
      </c>
      <c r="G66" s="19" t="s">
        <v>114</v>
      </c>
      <c r="H66" s="18">
        <v>9</v>
      </c>
      <c r="I66" s="18" t="s">
        <v>48</v>
      </c>
    </row>
    <row r="67" spans="1:9" ht="21" customHeight="1" x14ac:dyDescent="0.2">
      <c r="A67" s="18" t="s">
        <v>44</v>
      </c>
      <c r="B67" s="20" t="s">
        <v>20</v>
      </c>
      <c r="C67" s="20" t="s">
        <v>76</v>
      </c>
      <c r="D67" s="21" t="s">
        <v>77</v>
      </c>
      <c r="E67" s="105"/>
      <c r="F67" s="18">
        <v>332204</v>
      </c>
      <c r="G67" s="19" t="s">
        <v>115</v>
      </c>
      <c r="H67" s="18">
        <v>9</v>
      </c>
      <c r="I67" s="18" t="s">
        <v>48</v>
      </c>
    </row>
    <row r="68" spans="1:9" ht="22.5" customHeight="1" x14ac:dyDescent="0.2">
      <c r="A68" s="18" t="s">
        <v>44</v>
      </c>
      <c r="B68" s="20" t="s">
        <v>20</v>
      </c>
      <c r="C68" s="20" t="s">
        <v>76</v>
      </c>
      <c r="D68" s="21" t="s">
        <v>77</v>
      </c>
      <c r="E68" s="103" t="e" vm="10">
        <v>#VALUE!</v>
      </c>
      <c r="F68" s="18">
        <v>332002</v>
      </c>
      <c r="G68" s="19" t="s">
        <v>116</v>
      </c>
      <c r="H68" s="18">
        <v>10</v>
      </c>
      <c r="I68" s="18" t="s">
        <v>48</v>
      </c>
    </row>
    <row r="69" spans="1:9" ht="22.5" customHeight="1" x14ac:dyDescent="0.2">
      <c r="A69" s="18" t="s">
        <v>44</v>
      </c>
      <c r="B69" s="20" t="s">
        <v>20</v>
      </c>
      <c r="C69" s="20" t="s">
        <v>76</v>
      </c>
      <c r="D69" s="21" t="s">
        <v>77</v>
      </c>
      <c r="E69" s="104"/>
      <c r="F69" s="18">
        <v>332003</v>
      </c>
      <c r="G69" s="19" t="s">
        <v>117</v>
      </c>
      <c r="H69" s="18">
        <v>10</v>
      </c>
      <c r="I69" s="18" t="s">
        <v>48</v>
      </c>
    </row>
    <row r="70" spans="1:9" ht="22.5" customHeight="1" x14ac:dyDescent="0.2">
      <c r="A70" s="18" t="s">
        <v>44</v>
      </c>
      <c r="B70" s="20" t="s">
        <v>20</v>
      </c>
      <c r="C70" s="20" t="s">
        <v>76</v>
      </c>
      <c r="D70" s="21" t="s">
        <v>77</v>
      </c>
      <c r="E70" s="105"/>
      <c r="F70" s="18">
        <v>332004</v>
      </c>
      <c r="G70" s="19" t="s">
        <v>118</v>
      </c>
      <c r="H70" s="18">
        <v>10</v>
      </c>
      <c r="I70" s="18" t="s">
        <v>48</v>
      </c>
    </row>
    <row r="71" spans="1:9" ht="18.75" customHeight="1" x14ac:dyDescent="0.2">
      <c r="A71" s="18" t="s">
        <v>44</v>
      </c>
      <c r="B71" s="20" t="s">
        <v>20</v>
      </c>
      <c r="C71" s="20" t="s">
        <v>76</v>
      </c>
      <c r="D71" s="21" t="s">
        <v>77</v>
      </c>
      <c r="E71" s="103" t="e" vm="11">
        <v>#VALUE!</v>
      </c>
      <c r="F71" s="18">
        <v>332101</v>
      </c>
      <c r="G71" s="19" t="s">
        <v>119</v>
      </c>
      <c r="H71" s="18">
        <v>5</v>
      </c>
      <c r="I71" s="18" t="s">
        <v>48</v>
      </c>
    </row>
    <row r="72" spans="1:9" ht="18.75" customHeight="1" x14ac:dyDescent="0.2">
      <c r="A72" s="18" t="s">
        <v>44</v>
      </c>
      <c r="B72" s="20" t="s">
        <v>20</v>
      </c>
      <c r="C72" s="20" t="s">
        <v>76</v>
      </c>
      <c r="D72" s="21" t="s">
        <v>77</v>
      </c>
      <c r="E72" s="105"/>
      <c r="F72" s="18">
        <v>332102</v>
      </c>
      <c r="G72" s="19" t="s">
        <v>120</v>
      </c>
      <c r="H72" s="18">
        <v>5</v>
      </c>
      <c r="I72" s="18" t="s">
        <v>48</v>
      </c>
    </row>
    <row r="73" spans="1:9" ht="15.75" customHeight="1" x14ac:dyDescent="0.2">
      <c r="A73" s="18" t="s">
        <v>44</v>
      </c>
      <c r="B73" s="20" t="s">
        <v>20</v>
      </c>
      <c r="C73" s="20" t="s">
        <v>76</v>
      </c>
      <c r="D73" s="21" t="s">
        <v>77</v>
      </c>
      <c r="E73" s="103" t="e" vm="12">
        <v>#VALUE!</v>
      </c>
      <c r="F73" s="18">
        <v>331402</v>
      </c>
      <c r="G73" s="19" t="s">
        <v>121</v>
      </c>
      <c r="H73" s="18">
        <v>50</v>
      </c>
      <c r="I73" s="18" t="s">
        <v>48</v>
      </c>
    </row>
    <row r="74" spans="1:9" ht="15.75" customHeight="1" x14ac:dyDescent="0.2">
      <c r="A74" s="18" t="s">
        <v>44</v>
      </c>
      <c r="B74" s="20" t="s">
        <v>20</v>
      </c>
      <c r="C74" s="20" t="s">
        <v>76</v>
      </c>
      <c r="D74" s="21" t="s">
        <v>77</v>
      </c>
      <c r="E74" s="104"/>
      <c r="F74" s="18">
        <v>331403</v>
      </c>
      <c r="G74" s="19" t="s">
        <v>122</v>
      </c>
      <c r="H74" s="18">
        <v>30</v>
      </c>
      <c r="I74" s="18" t="s">
        <v>48</v>
      </c>
    </row>
    <row r="75" spans="1:9" ht="15.75" customHeight="1" x14ac:dyDescent="0.2">
      <c r="A75" s="18" t="s">
        <v>44</v>
      </c>
      <c r="B75" s="20" t="s">
        <v>20</v>
      </c>
      <c r="C75" s="20" t="s">
        <v>76</v>
      </c>
      <c r="D75" s="21" t="s">
        <v>77</v>
      </c>
      <c r="E75" s="104"/>
      <c r="F75" s="18">
        <v>331404</v>
      </c>
      <c r="G75" s="19" t="s">
        <v>123</v>
      </c>
      <c r="H75" s="18">
        <v>20</v>
      </c>
      <c r="I75" s="18" t="s">
        <v>48</v>
      </c>
    </row>
    <row r="76" spans="1:9" ht="15.75" customHeight="1" x14ac:dyDescent="0.2">
      <c r="A76" s="18" t="s">
        <v>44</v>
      </c>
      <c r="B76" s="20" t="s">
        <v>20</v>
      </c>
      <c r="C76" s="20" t="s">
        <v>76</v>
      </c>
      <c r="D76" s="21" t="s">
        <v>77</v>
      </c>
      <c r="E76" s="104"/>
      <c r="F76" s="18">
        <v>331405</v>
      </c>
      <c r="G76" s="19" t="s">
        <v>124</v>
      </c>
      <c r="H76" s="18">
        <v>10</v>
      </c>
      <c r="I76" s="18" t="s">
        <v>48</v>
      </c>
    </row>
    <row r="77" spans="1:9" ht="15.75" customHeight="1" x14ac:dyDescent="0.2">
      <c r="A77" s="18" t="s">
        <v>44</v>
      </c>
      <c r="B77" s="20" t="s">
        <v>20</v>
      </c>
      <c r="C77" s="20" t="s">
        <v>76</v>
      </c>
      <c r="D77" s="21" t="s">
        <v>77</v>
      </c>
      <c r="E77" s="104"/>
      <c r="F77" s="18">
        <v>331406</v>
      </c>
      <c r="G77" s="19" t="s">
        <v>125</v>
      </c>
      <c r="H77" s="18">
        <v>10</v>
      </c>
      <c r="I77" s="18" t="s">
        <v>48</v>
      </c>
    </row>
    <row r="78" spans="1:9" ht="15.75" customHeight="1" x14ac:dyDescent="0.2">
      <c r="A78" s="18" t="s">
        <v>44</v>
      </c>
      <c r="B78" s="20" t="s">
        <v>20</v>
      </c>
      <c r="C78" s="20" t="s">
        <v>76</v>
      </c>
      <c r="D78" s="21" t="s">
        <v>77</v>
      </c>
      <c r="E78" s="104"/>
      <c r="F78" s="18">
        <v>331407</v>
      </c>
      <c r="G78" s="19" t="s">
        <v>126</v>
      </c>
      <c r="H78" s="18">
        <v>12</v>
      </c>
      <c r="I78" s="18" t="s">
        <v>48</v>
      </c>
    </row>
    <row r="79" spans="1:9" ht="15.75" customHeight="1" x14ac:dyDescent="0.2">
      <c r="A79" s="18" t="s">
        <v>44</v>
      </c>
      <c r="B79" s="20" t="s">
        <v>20</v>
      </c>
      <c r="C79" s="20" t="s">
        <v>76</v>
      </c>
      <c r="D79" s="21" t="s">
        <v>77</v>
      </c>
      <c r="E79" s="104"/>
      <c r="F79" s="18">
        <v>331408</v>
      </c>
      <c r="G79" s="19" t="s">
        <v>127</v>
      </c>
      <c r="H79" s="18">
        <v>5</v>
      </c>
      <c r="I79" s="18" t="s">
        <v>48</v>
      </c>
    </row>
    <row r="80" spans="1:9" ht="15.75" customHeight="1" x14ac:dyDescent="0.2">
      <c r="A80" s="18" t="s">
        <v>44</v>
      </c>
      <c r="B80" s="20" t="s">
        <v>20</v>
      </c>
      <c r="C80" s="20" t="s">
        <v>76</v>
      </c>
      <c r="D80" s="21" t="s">
        <v>77</v>
      </c>
      <c r="E80" s="104"/>
      <c r="F80" s="18">
        <v>331409</v>
      </c>
      <c r="G80" s="19" t="s">
        <v>128</v>
      </c>
      <c r="H80" s="18">
        <v>4</v>
      </c>
      <c r="I80" s="18" t="s">
        <v>48</v>
      </c>
    </row>
    <row r="81" spans="1:9" ht="15.75" customHeight="1" x14ac:dyDescent="0.2">
      <c r="A81" s="18" t="s">
        <v>44</v>
      </c>
      <c r="B81" s="20" t="s">
        <v>20</v>
      </c>
      <c r="C81" s="20" t="s">
        <v>76</v>
      </c>
      <c r="D81" s="21" t="s">
        <v>77</v>
      </c>
      <c r="E81" s="105"/>
      <c r="F81" s="18">
        <v>331410</v>
      </c>
      <c r="G81" s="19" t="s">
        <v>129</v>
      </c>
      <c r="H81" s="18">
        <v>3</v>
      </c>
      <c r="I81" s="18" t="s">
        <v>48</v>
      </c>
    </row>
    <row r="82" spans="1:9" ht="15.75" customHeight="1" x14ac:dyDescent="0.2">
      <c r="A82" s="18" t="s">
        <v>44</v>
      </c>
      <c r="B82" s="20" t="s">
        <v>20</v>
      </c>
      <c r="C82" s="20" t="s">
        <v>76</v>
      </c>
      <c r="D82" s="21" t="s">
        <v>77</v>
      </c>
      <c r="E82" s="103" t="e" vm="13">
        <v>#VALUE!</v>
      </c>
      <c r="F82" s="18">
        <v>338001</v>
      </c>
      <c r="G82" s="19" t="s">
        <v>130</v>
      </c>
      <c r="H82" s="18">
        <v>20</v>
      </c>
      <c r="I82" s="18" t="s">
        <v>48</v>
      </c>
    </row>
    <row r="83" spans="1:9" ht="15.75" customHeight="1" x14ac:dyDescent="0.2">
      <c r="A83" s="18" t="s">
        <v>44</v>
      </c>
      <c r="B83" s="20" t="s">
        <v>20</v>
      </c>
      <c r="C83" s="20" t="s">
        <v>76</v>
      </c>
      <c r="D83" s="21" t="s">
        <v>77</v>
      </c>
      <c r="E83" s="104"/>
      <c r="F83" s="18">
        <v>338002</v>
      </c>
      <c r="G83" s="19" t="s">
        <v>131</v>
      </c>
      <c r="H83" s="18">
        <v>20</v>
      </c>
      <c r="I83" s="18" t="s">
        <v>48</v>
      </c>
    </row>
    <row r="84" spans="1:9" ht="15.75" customHeight="1" x14ac:dyDescent="0.2">
      <c r="A84" s="18" t="s">
        <v>44</v>
      </c>
      <c r="B84" s="20" t="s">
        <v>20</v>
      </c>
      <c r="C84" s="20" t="s">
        <v>76</v>
      </c>
      <c r="D84" s="21" t="s">
        <v>77</v>
      </c>
      <c r="E84" s="104"/>
      <c r="F84" s="18">
        <v>338003</v>
      </c>
      <c r="G84" s="19" t="s">
        <v>132</v>
      </c>
      <c r="H84" s="18">
        <v>20</v>
      </c>
      <c r="I84" s="18" t="s">
        <v>48</v>
      </c>
    </row>
    <row r="85" spans="1:9" ht="15.75" customHeight="1" x14ac:dyDescent="0.2">
      <c r="A85" s="18" t="s">
        <v>44</v>
      </c>
      <c r="B85" s="20" t="s">
        <v>20</v>
      </c>
      <c r="C85" s="20" t="s">
        <v>76</v>
      </c>
      <c r="D85" s="21" t="s">
        <v>77</v>
      </c>
      <c r="E85" s="104"/>
      <c r="F85" s="18">
        <v>338004</v>
      </c>
      <c r="G85" s="19" t="s">
        <v>133</v>
      </c>
      <c r="H85" s="18">
        <v>10</v>
      </c>
      <c r="I85" s="18" t="s">
        <v>48</v>
      </c>
    </row>
    <row r="86" spans="1:9" ht="15.75" customHeight="1" x14ac:dyDescent="0.2">
      <c r="A86" s="18" t="s">
        <v>44</v>
      </c>
      <c r="B86" s="20" t="s">
        <v>20</v>
      </c>
      <c r="C86" s="20" t="s">
        <v>76</v>
      </c>
      <c r="D86" s="21" t="s">
        <v>77</v>
      </c>
      <c r="E86" s="104"/>
      <c r="F86" s="18">
        <v>338005</v>
      </c>
      <c r="G86" s="19" t="s">
        <v>134</v>
      </c>
      <c r="H86" s="18">
        <v>10</v>
      </c>
      <c r="I86" s="18" t="s">
        <v>48</v>
      </c>
    </row>
    <row r="87" spans="1:9" ht="15.75" customHeight="1" x14ac:dyDescent="0.2">
      <c r="A87" s="18" t="s">
        <v>44</v>
      </c>
      <c r="B87" s="20" t="s">
        <v>20</v>
      </c>
      <c r="C87" s="20" t="s">
        <v>76</v>
      </c>
      <c r="D87" s="21" t="s">
        <v>77</v>
      </c>
      <c r="E87" s="104"/>
      <c r="F87" s="18">
        <v>338006</v>
      </c>
      <c r="G87" s="19" t="s">
        <v>135</v>
      </c>
      <c r="H87" s="18">
        <v>10</v>
      </c>
      <c r="I87" s="18" t="s">
        <v>48</v>
      </c>
    </row>
    <row r="88" spans="1:9" ht="15.75" customHeight="1" x14ac:dyDescent="0.2">
      <c r="A88" s="18" t="s">
        <v>44</v>
      </c>
      <c r="B88" s="20" t="s">
        <v>20</v>
      </c>
      <c r="C88" s="20" t="s">
        <v>76</v>
      </c>
      <c r="D88" s="21" t="s">
        <v>77</v>
      </c>
      <c r="E88" s="104"/>
      <c r="F88" s="18">
        <v>338007</v>
      </c>
      <c r="G88" s="19" t="s">
        <v>136</v>
      </c>
      <c r="H88" s="18">
        <v>12</v>
      </c>
      <c r="I88" s="18" t="s">
        <v>48</v>
      </c>
    </row>
    <row r="89" spans="1:9" ht="15.75" customHeight="1" x14ac:dyDescent="0.2">
      <c r="A89" s="18" t="s">
        <v>44</v>
      </c>
      <c r="B89" s="20" t="s">
        <v>20</v>
      </c>
      <c r="C89" s="20" t="s">
        <v>76</v>
      </c>
      <c r="D89" s="21" t="s">
        <v>77</v>
      </c>
      <c r="E89" s="104"/>
      <c r="F89" s="18">
        <v>338008</v>
      </c>
      <c r="G89" s="19" t="s">
        <v>137</v>
      </c>
      <c r="H89" s="18">
        <v>12</v>
      </c>
      <c r="I89" s="18" t="s">
        <v>48</v>
      </c>
    </row>
    <row r="90" spans="1:9" ht="15.75" customHeight="1" x14ac:dyDescent="0.2">
      <c r="A90" s="18" t="s">
        <v>44</v>
      </c>
      <c r="B90" s="20" t="s">
        <v>20</v>
      </c>
      <c r="C90" s="20" t="s">
        <v>76</v>
      </c>
      <c r="D90" s="21" t="s">
        <v>77</v>
      </c>
      <c r="E90" s="104"/>
      <c r="F90" s="18">
        <v>338009</v>
      </c>
      <c r="G90" s="19" t="s">
        <v>138</v>
      </c>
      <c r="H90" s="18">
        <v>12</v>
      </c>
      <c r="I90" s="18" t="s">
        <v>48</v>
      </c>
    </row>
    <row r="91" spans="1:9" ht="15.75" customHeight="1" x14ac:dyDescent="0.2">
      <c r="A91" s="18" t="s">
        <v>44</v>
      </c>
      <c r="B91" s="20" t="s">
        <v>20</v>
      </c>
      <c r="C91" s="20" t="s">
        <v>76</v>
      </c>
      <c r="D91" s="21" t="s">
        <v>77</v>
      </c>
      <c r="E91" s="104"/>
      <c r="F91" s="18">
        <v>338010</v>
      </c>
      <c r="G91" s="19" t="s">
        <v>139</v>
      </c>
      <c r="H91" s="18">
        <v>12</v>
      </c>
      <c r="I91" s="18" t="s">
        <v>48</v>
      </c>
    </row>
    <row r="92" spans="1:9" ht="15.75" customHeight="1" x14ac:dyDescent="0.2">
      <c r="A92" s="18" t="s">
        <v>44</v>
      </c>
      <c r="B92" s="20" t="s">
        <v>20</v>
      </c>
      <c r="C92" s="20" t="s">
        <v>76</v>
      </c>
      <c r="D92" s="21" t="s">
        <v>77</v>
      </c>
      <c r="E92" s="104"/>
      <c r="F92" s="18">
        <v>338011</v>
      </c>
      <c r="G92" s="19" t="s">
        <v>140</v>
      </c>
      <c r="H92" s="18">
        <v>12</v>
      </c>
      <c r="I92" s="18" t="s">
        <v>48</v>
      </c>
    </row>
    <row r="93" spans="1:9" ht="15.75" customHeight="1" x14ac:dyDescent="0.2">
      <c r="A93" s="18" t="s">
        <v>44</v>
      </c>
      <c r="B93" s="20" t="s">
        <v>20</v>
      </c>
      <c r="C93" s="20" t="s">
        <v>76</v>
      </c>
      <c r="D93" s="21" t="s">
        <v>77</v>
      </c>
      <c r="E93" s="104"/>
      <c r="F93" s="18">
        <v>338012</v>
      </c>
      <c r="G93" s="19" t="s">
        <v>141</v>
      </c>
      <c r="H93" s="18">
        <v>12</v>
      </c>
      <c r="I93" s="18" t="s">
        <v>48</v>
      </c>
    </row>
    <row r="94" spans="1:9" ht="15.75" customHeight="1" x14ac:dyDescent="0.2">
      <c r="A94" s="18" t="s">
        <v>44</v>
      </c>
      <c r="B94" s="20" t="s">
        <v>20</v>
      </c>
      <c r="C94" s="20" t="s">
        <v>76</v>
      </c>
      <c r="D94" s="21" t="s">
        <v>77</v>
      </c>
      <c r="E94" s="104"/>
      <c r="F94" s="18">
        <v>338013</v>
      </c>
      <c r="G94" s="19" t="s">
        <v>142</v>
      </c>
      <c r="H94" s="18">
        <v>12</v>
      </c>
      <c r="I94" s="18" t="s">
        <v>48</v>
      </c>
    </row>
    <row r="95" spans="1:9" ht="15.75" customHeight="1" x14ac:dyDescent="0.2">
      <c r="A95" s="18" t="s">
        <v>44</v>
      </c>
      <c r="B95" s="20" t="s">
        <v>20</v>
      </c>
      <c r="C95" s="20" t="s">
        <v>76</v>
      </c>
      <c r="D95" s="21" t="s">
        <v>77</v>
      </c>
      <c r="E95" s="104"/>
      <c r="F95" s="18">
        <v>338014</v>
      </c>
      <c r="G95" s="19" t="s">
        <v>143</v>
      </c>
      <c r="H95" s="18">
        <v>12</v>
      </c>
      <c r="I95" s="18" t="s">
        <v>48</v>
      </c>
    </row>
    <row r="96" spans="1:9" ht="15.75" customHeight="1" x14ac:dyDescent="0.2">
      <c r="A96" s="18" t="s">
        <v>44</v>
      </c>
      <c r="B96" s="20" t="s">
        <v>20</v>
      </c>
      <c r="C96" s="20" t="s">
        <v>76</v>
      </c>
      <c r="D96" s="21" t="s">
        <v>77</v>
      </c>
      <c r="E96" s="104"/>
      <c r="F96" s="18">
        <v>338015</v>
      </c>
      <c r="G96" s="19" t="s">
        <v>144</v>
      </c>
      <c r="H96" s="18">
        <v>12</v>
      </c>
      <c r="I96" s="18" t="s">
        <v>48</v>
      </c>
    </row>
    <row r="97" spans="1:9" ht="15.75" customHeight="1" x14ac:dyDescent="0.2">
      <c r="A97" s="18" t="s">
        <v>44</v>
      </c>
      <c r="B97" s="20" t="s">
        <v>20</v>
      </c>
      <c r="C97" s="20" t="s">
        <v>76</v>
      </c>
      <c r="D97" s="21" t="s">
        <v>77</v>
      </c>
      <c r="E97" s="104"/>
      <c r="F97" s="18">
        <v>338016</v>
      </c>
      <c r="G97" s="19" t="s">
        <v>145</v>
      </c>
      <c r="H97" s="18">
        <v>5</v>
      </c>
      <c r="I97" s="18" t="s">
        <v>146</v>
      </c>
    </row>
    <row r="98" spans="1:9" ht="15.75" customHeight="1" x14ac:dyDescent="0.2">
      <c r="A98" s="18" t="s">
        <v>44</v>
      </c>
      <c r="B98" s="20" t="s">
        <v>20</v>
      </c>
      <c r="C98" s="20" t="s">
        <v>76</v>
      </c>
      <c r="D98" s="21" t="s">
        <v>77</v>
      </c>
      <c r="E98" s="104"/>
      <c r="F98" s="18">
        <v>338017</v>
      </c>
      <c r="G98" s="19" t="s">
        <v>147</v>
      </c>
      <c r="H98" s="18">
        <v>5</v>
      </c>
      <c r="I98" s="18" t="s">
        <v>48</v>
      </c>
    </row>
    <row r="99" spans="1:9" ht="15.75" customHeight="1" x14ac:dyDescent="0.2">
      <c r="A99" s="18" t="s">
        <v>44</v>
      </c>
      <c r="B99" s="20" t="s">
        <v>20</v>
      </c>
      <c r="C99" s="20" t="s">
        <v>76</v>
      </c>
      <c r="D99" s="21" t="s">
        <v>77</v>
      </c>
      <c r="E99" s="104"/>
      <c r="F99" s="18">
        <v>338018</v>
      </c>
      <c r="G99" s="19" t="s">
        <v>148</v>
      </c>
      <c r="H99" s="18">
        <v>5</v>
      </c>
      <c r="I99" s="18" t="s">
        <v>48</v>
      </c>
    </row>
    <row r="100" spans="1:9" ht="15.75" customHeight="1" x14ac:dyDescent="0.2">
      <c r="A100" s="18" t="s">
        <v>44</v>
      </c>
      <c r="B100" s="20" t="s">
        <v>20</v>
      </c>
      <c r="C100" s="20" t="s">
        <v>76</v>
      </c>
      <c r="D100" s="21" t="s">
        <v>77</v>
      </c>
      <c r="E100" s="104"/>
      <c r="F100" s="18">
        <v>338019</v>
      </c>
      <c r="G100" s="19" t="s">
        <v>149</v>
      </c>
      <c r="H100" s="18">
        <v>5</v>
      </c>
      <c r="I100" s="18" t="s">
        <v>48</v>
      </c>
    </row>
    <row r="101" spans="1:9" ht="15.75" customHeight="1" x14ac:dyDescent="0.2">
      <c r="A101" s="18" t="s">
        <v>44</v>
      </c>
      <c r="B101" s="20" t="s">
        <v>20</v>
      </c>
      <c r="C101" s="20" t="s">
        <v>76</v>
      </c>
      <c r="D101" s="21" t="s">
        <v>77</v>
      </c>
      <c r="E101" s="104"/>
      <c r="F101" s="18">
        <v>338020</v>
      </c>
      <c r="G101" s="19" t="s">
        <v>150</v>
      </c>
      <c r="H101" s="18">
        <v>1</v>
      </c>
      <c r="I101" s="18" t="s">
        <v>48</v>
      </c>
    </row>
    <row r="102" spans="1:9" ht="15.75" customHeight="1" x14ac:dyDescent="0.2">
      <c r="A102" s="18" t="s">
        <v>44</v>
      </c>
      <c r="B102" s="20" t="s">
        <v>20</v>
      </c>
      <c r="C102" s="20" t="s">
        <v>76</v>
      </c>
      <c r="D102" s="21" t="s">
        <v>77</v>
      </c>
      <c r="E102" s="104"/>
      <c r="F102" s="18">
        <v>338021</v>
      </c>
      <c r="G102" s="19" t="s">
        <v>151</v>
      </c>
      <c r="H102" s="18">
        <v>1</v>
      </c>
      <c r="I102" s="18" t="s">
        <v>48</v>
      </c>
    </row>
    <row r="103" spans="1:9" ht="15.75" customHeight="1" x14ac:dyDescent="0.2">
      <c r="A103" s="18" t="s">
        <v>44</v>
      </c>
      <c r="B103" s="20" t="s">
        <v>20</v>
      </c>
      <c r="C103" s="20" t="s">
        <v>76</v>
      </c>
      <c r="D103" s="21" t="s">
        <v>77</v>
      </c>
      <c r="E103" s="104"/>
      <c r="F103" s="18">
        <v>338022</v>
      </c>
      <c r="G103" s="19" t="s">
        <v>152</v>
      </c>
      <c r="H103" s="18">
        <v>1</v>
      </c>
      <c r="I103" s="18" t="s">
        <v>48</v>
      </c>
    </row>
    <row r="104" spans="1:9" ht="15.75" customHeight="1" x14ac:dyDescent="0.2">
      <c r="A104" s="18" t="s">
        <v>44</v>
      </c>
      <c r="B104" s="20" t="s">
        <v>20</v>
      </c>
      <c r="C104" s="20" t="s">
        <v>76</v>
      </c>
      <c r="D104" s="21" t="s">
        <v>77</v>
      </c>
      <c r="E104" s="104"/>
      <c r="F104" s="18">
        <v>338023</v>
      </c>
      <c r="G104" s="19" t="s">
        <v>153</v>
      </c>
      <c r="H104" s="18">
        <v>1</v>
      </c>
      <c r="I104" s="18" t="s">
        <v>48</v>
      </c>
    </row>
    <row r="105" spans="1:9" ht="15.75" customHeight="1" x14ac:dyDescent="0.2">
      <c r="A105" s="18" t="s">
        <v>44</v>
      </c>
      <c r="B105" s="20" t="s">
        <v>20</v>
      </c>
      <c r="C105" s="20" t="s">
        <v>76</v>
      </c>
      <c r="D105" s="21" t="s">
        <v>77</v>
      </c>
      <c r="E105" s="104"/>
      <c r="F105" s="18">
        <v>338024</v>
      </c>
      <c r="G105" s="19" t="s">
        <v>154</v>
      </c>
      <c r="H105" s="18">
        <v>1</v>
      </c>
      <c r="I105" s="18" t="s">
        <v>48</v>
      </c>
    </row>
    <row r="106" spans="1:9" ht="15.75" customHeight="1" x14ac:dyDescent="0.2">
      <c r="A106" s="18" t="s">
        <v>44</v>
      </c>
      <c r="B106" s="20" t="s">
        <v>20</v>
      </c>
      <c r="C106" s="20" t="s">
        <v>76</v>
      </c>
      <c r="D106" s="21" t="s">
        <v>77</v>
      </c>
      <c r="E106" s="104"/>
      <c r="F106" s="18">
        <v>338025</v>
      </c>
      <c r="G106" s="19" t="s">
        <v>155</v>
      </c>
      <c r="H106" s="18">
        <v>1</v>
      </c>
      <c r="I106" s="18" t="s">
        <v>48</v>
      </c>
    </row>
    <row r="107" spans="1:9" ht="15.75" customHeight="1" x14ac:dyDescent="0.2">
      <c r="A107" s="18" t="s">
        <v>44</v>
      </c>
      <c r="B107" s="20" t="s">
        <v>20</v>
      </c>
      <c r="C107" s="20" t="s">
        <v>76</v>
      </c>
      <c r="D107" s="21" t="s">
        <v>77</v>
      </c>
      <c r="E107" s="104"/>
      <c r="F107" s="18">
        <v>338026</v>
      </c>
      <c r="G107" s="19" t="s">
        <v>156</v>
      </c>
      <c r="H107" s="18">
        <v>1</v>
      </c>
      <c r="I107" s="18" t="s">
        <v>48</v>
      </c>
    </row>
    <row r="108" spans="1:9" ht="15.75" customHeight="1" x14ac:dyDescent="0.2">
      <c r="A108" s="18" t="s">
        <v>44</v>
      </c>
      <c r="B108" s="20" t="s">
        <v>20</v>
      </c>
      <c r="C108" s="20" t="s">
        <v>76</v>
      </c>
      <c r="D108" s="21" t="s">
        <v>77</v>
      </c>
      <c r="E108" s="104"/>
      <c r="F108" s="18">
        <v>338027</v>
      </c>
      <c r="G108" s="19" t="s">
        <v>157</v>
      </c>
      <c r="H108" s="18">
        <v>1</v>
      </c>
      <c r="I108" s="18" t="s">
        <v>48</v>
      </c>
    </row>
    <row r="109" spans="1:9" ht="15.75" customHeight="1" x14ac:dyDescent="0.2">
      <c r="A109" s="18" t="s">
        <v>44</v>
      </c>
      <c r="B109" s="20" t="s">
        <v>20</v>
      </c>
      <c r="C109" s="20" t="s">
        <v>76</v>
      </c>
      <c r="D109" s="21" t="s">
        <v>77</v>
      </c>
      <c r="E109" s="105"/>
      <c r="F109" s="18">
        <v>338028</v>
      </c>
      <c r="G109" s="19" t="s">
        <v>158</v>
      </c>
      <c r="H109" s="18">
        <v>1</v>
      </c>
      <c r="I109" s="18" t="s">
        <v>48</v>
      </c>
    </row>
    <row r="110" spans="1:9" ht="15.75" customHeight="1" x14ac:dyDescent="0.2">
      <c r="A110" s="18" t="s">
        <v>44</v>
      </c>
      <c r="B110" s="20" t="s">
        <v>20</v>
      </c>
      <c r="C110" s="20" t="s">
        <v>76</v>
      </c>
      <c r="D110" s="21" t="s">
        <v>77</v>
      </c>
      <c r="E110" s="103" t="e" vm="14">
        <v>#VALUE!</v>
      </c>
      <c r="F110" s="18">
        <v>331302</v>
      </c>
      <c r="G110" s="19" t="s">
        <v>159</v>
      </c>
      <c r="H110" s="18">
        <v>50</v>
      </c>
      <c r="I110" s="18" t="s">
        <v>48</v>
      </c>
    </row>
    <row r="111" spans="1:9" ht="15.75" customHeight="1" x14ac:dyDescent="0.2">
      <c r="A111" s="18" t="s">
        <v>44</v>
      </c>
      <c r="B111" s="20" t="s">
        <v>20</v>
      </c>
      <c r="C111" s="20" t="s">
        <v>76</v>
      </c>
      <c r="D111" s="21" t="s">
        <v>77</v>
      </c>
      <c r="E111" s="104"/>
      <c r="F111" s="18">
        <v>331303</v>
      </c>
      <c r="G111" s="19" t="s">
        <v>160</v>
      </c>
      <c r="H111" s="18">
        <v>20</v>
      </c>
      <c r="I111" s="18" t="s">
        <v>48</v>
      </c>
    </row>
    <row r="112" spans="1:9" ht="15.75" customHeight="1" x14ac:dyDescent="0.2">
      <c r="A112" s="18" t="s">
        <v>44</v>
      </c>
      <c r="B112" s="20" t="s">
        <v>20</v>
      </c>
      <c r="C112" s="20" t="s">
        <v>76</v>
      </c>
      <c r="D112" s="21" t="s">
        <v>77</v>
      </c>
      <c r="E112" s="104"/>
      <c r="F112" s="18">
        <v>331304</v>
      </c>
      <c r="G112" s="19" t="s">
        <v>161</v>
      </c>
      <c r="H112" s="18">
        <v>10</v>
      </c>
      <c r="I112" s="18" t="s">
        <v>48</v>
      </c>
    </row>
    <row r="113" spans="1:9" ht="15.75" customHeight="1" x14ac:dyDescent="0.2">
      <c r="A113" s="18" t="s">
        <v>44</v>
      </c>
      <c r="B113" s="20" t="s">
        <v>20</v>
      </c>
      <c r="C113" s="20" t="s">
        <v>76</v>
      </c>
      <c r="D113" s="21" t="s">
        <v>77</v>
      </c>
      <c r="E113" s="104"/>
      <c r="F113" s="18">
        <v>331305</v>
      </c>
      <c r="G113" s="19" t="s">
        <v>162</v>
      </c>
      <c r="H113" s="18">
        <v>10</v>
      </c>
      <c r="I113" s="18" t="s">
        <v>48</v>
      </c>
    </row>
    <row r="114" spans="1:9" ht="15.75" customHeight="1" x14ac:dyDescent="0.2">
      <c r="A114" s="18" t="s">
        <v>44</v>
      </c>
      <c r="B114" s="20" t="s">
        <v>20</v>
      </c>
      <c r="C114" s="20" t="s">
        <v>76</v>
      </c>
      <c r="D114" s="21" t="s">
        <v>77</v>
      </c>
      <c r="E114" s="104"/>
      <c r="F114" s="18">
        <v>331306</v>
      </c>
      <c r="G114" s="19" t="s">
        <v>163</v>
      </c>
      <c r="H114" s="18">
        <v>10</v>
      </c>
      <c r="I114" s="18" t="s">
        <v>48</v>
      </c>
    </row>
    <row r="115" spans="1:9" ht="15.75" customHeight="1" x14ac:dyDescent="0.2">
      <c r="A115" s="18" t="s">
        <v>44</v>
      </c>
      <c r="B115" s="20" t="s">
        <v>20</v>
      </c>
      <c r="C115" s="20" t="s">
        <v>76</v>
      </c>
      <c r="D115" s="21" t="s">
        <v>77</v>
      </c>
      <c r="E115" s="104"/>
      <c r="F115" s="18">
        <v>331307</v>
      </c>
      <c r="G115" s="19" t="s">
        <v>164</v>
      </c>
      <c r="H115" s="18">
        <v>6</v>
      </c>
      <c r="I115" s="18" t="s">
        <v>48</v>
      </c>
    </row>
    <row r="116" spans="1:9" ht="15.75" customHeight="1" x14ac:dyDescent="0.2">
      <c r="A116" s="18" t="s">
        <v>44</v>
      </c>
      <c r="B116" s="20" t="s">
        <v>20</v>
      </c>
      <c r="C116" s="20" t="s">
        <v>76</v>
      </c>
      <c r="D116" s="21" t="s">
        <v>77</v>
      </c>
      <c r="E116" s="104"/>
      <c r="F116" s="18">
        <v>331308</v>
      </c>
      <c r="G116" s="19" t="s">
        <v>165</v>
      </c>
      <c r="H116" s="18">
        <v>4</v>
      </c>
      <c r="I116" s="18" t="s">
        <v>48</v>
      </c>
    </row>
    <row r="117" spans="1:9" ht="15.75" customHeight="1" x14ac:dyDescent="0.2">
      <c r="A117" s="18" t="s">
        <v>44</v>
      </c>
      <c r="B117" s="20" t="s">
        <v>20</v>
      </c>
      <c r="C117" s="20" t="s">
        <v>76</v>
      </c>
      <c r="D117" s="21" t="s">
        <v>77</v>
      </c>
      <c r="E117" s="104"/>
      <c r="F117" s="18">
        <v>331309</v>
      </c>
      <c r="G117" s="19" t="s">
        <v>166</v>
      </c>
      <c r="H117" s="18">
        <v>2</v>
      </c>
      <c r="I117" s="18" t="s">
        <v>48</v>
      </c>
    </row>
    <row r="118" spans="1:9" ht="15.75" customHeight="1" x14ac:dyDescent="0.2">
      <c r="A118" s="18" t="s">
        <v>44</v>
      </c>
      <c r="B118" s="20" t="s">
        <v>20</v>
      </c>
      <c r="C118" s="20" t="s">
        <v>76</v>
      </c>
      <c r="D118" s="21" t="s">
        <v>77</v>
      </c>
      <c r="E118" s="105"/>
      <c r="F118" s="18">
        <v>331310</v>
      </c>
      <c r="G118" s="19" t="s">
        <v>167</v>
      </c>
      <c r="H118" s="18">
        <v>1</v>
      </c>
      <c r="I118" s="18" t="s">
        <v>168</v>
      </c>
    </row>
    <row r="119" spans="1:9" ht="15.75" customHeight="1" x14ac:dyDescent="0.2">
      <c r="A119" s="18" t="s">
        <v>44</v>
      </c>
      <c r="B119" s="20" t="s">
        <v>20</v>
      </c>
      <c r="C119" s="20" t="s">
        <v>76</v>
      </c>
      <c r="D119" s="21" t="s">
        <v>77</v>
      </c>
      <c r="E119" s="103" t="e" vm="15">
        <v>#VALUE!</v>
      </c>
      <c r="F119" s="18">
        <v>331611</v>
      </c>
      <c r="G119" s="19" t="s">
        <v>169</v>
      </c>
      <c r="H119" s="18">
        <v>20</v>
      </c>
      <c r="I119" s="18" t="s">
        <v>48</v>
      </c>
    </row>
    <row r="120" spans="1:9" ht="15.75" customHeight="1" x14ac:dyDescent="0.2">
      <c r="A120" s="18" t="s">
        <v>44</v>
      </c>
      <c r="B120" s="20" t="s">
        <v>20</v>
      </c>
      <c r="C120" s="20" t="s">
        <v>170</v>
      </c>
      <c r="D120" s="21" t="s">
        <v>77</v>
      </c>
      <c r="E120" s="104"/>
      <c r="F120" s="18">
        <v>31649</v>
      </c>
      <c r="G120" s="19" t="s">
        <v>171</v>
      </c>
      <c r="H120" s="18">
        <v>15</v>
      </c>
      <c r="I120" s="18" t="s">
        <v>48</v>
      </c>
    </row>
    <row r="121" spans="1:9" ht="15.75" customHeight="1" x14ac:dyDescent="0.2">
      <c r="A121" s="18" t="s">
        <v>44</v>
      </c>
      <c r="B121" s="20" t="s">
        <v>20</v>
      </c>
      <c r="C121" s="20" t="s">
        <v>76</v>
      </c>
      <c r="D121" s="21" t="s">
        <v>77</v>
      </c>
      <c r="E121" s="104"/>
      <c r="F121" s="18">
        <v>331618</v>
      </c>
      <c r="G121" s="19" t="s">
        <v>172</v>
      </c>
      <c r="H121" s="18">
        <v>15</v>
      </c>
      <c r="I121" s="18" t="s">
        <v>48</v>
      </c>
    </row>
    <row r="122" spans="1:9" ht="15.75" customHeight="1" x14ac:dyDescent="0.2">
      <c r="A122" s="18" t="s">
        <v>44</v>
      </c>
      <c r="B122" s="20" t="s">
        <v>20</v>
      </c>
      <c r="C122" s="20" t="s">
        <v>76</v>
      </c>
      <c r="D122" s="21" t="s">
        <v>77</v>
      </c>
      <c r="E122" s="104"/>
      <c r="F122" s="18">
        <v>331619</v>
      </c>
      <c r="G122" s="19" t="s">
        <v>173</v>
      </c>
      <c r="H122" s="18">
        <v>15</v>
      </c>
      <c r="I122" s="18" t="s">
        <v>48</v>
      </c>
    </row>
    <row r="123" spans="1:9" ht="15.75" customHeight="1" x14ac:dyDescent="0.2">
      <c r="A123" s="18" t="s">
        <v>44</v>
      </c>
      <c r="B123" s="20" t="s">
        <v>20</v>
      </c>
      <c r="C123" s="20" t="s">
        <v>76</v>
      </c>
      <c r="D123" s="21" t="s">
        <v>77</v>
      </c>
      <c r="E123" s="104"/>
      <c r="F123" s="18">
        <v>331621</v>
      </c>
      <c r="G123" s="19" t="s">
        <v>174</v>
      </c>
      <c r="H123" s="18">
        <v>10</v>
      </c>
      <c r="I123" s="18" t="s">
        <v>48</v>
      </c>
    </row>
    <row r="124" spans="1:9" ht="15.75" customHeight="1" x14ac:dyDescent="0.2">
      <c r="A124" s="18" t="s">
        <v>44</v>
      </c>
      <c r="B124" s="20" t="s">
        <v>20</v>
      </c>
      <c r="C124" s="20" t="s">
        <v>76</v>
      </c>
      <c r="D124" s="21" t="s">
        <v>77</v>
      </c>
      <c r="E124" s="104"/>
      <c r="F124" s="18">
        <v>331623</v>
      </c>
      <c r="G124" s="19" t="s">
        <v>175</v>
      </c>
      <c r="H124" s="18">
        <v>5</v>
      </c>
      <c r="I124" s="18" t="s">
        <v>48</v>
      </c>
    </row>
    <row r="125" spans="1:9" ht="15.75" customHeight="1" x14ac:dyDescent="0.2">
      <c r="A125" s="18" t="s">
        <v>44</v>
      </c>
      <c r="B125" s="20" t="s">
        <v>20</v>
      </c>
      <c r="C125" s="20" t="s">
        <v>76</v>
      </c>
      <c r="D125" s="21" t="s">
        <v>77</v>
      </c>
      <c r="E125" s="104"/>
      <c r="F125" s="18">
        <v>331624</v>
      </c>
      <c r="G125" s="19" t="s">
        <v>176</v>
      </c>
      <c r="H125" s="18">
        <v>9</v>
      </c>
      <c r="I125" s="18" t="s">
        <v>48</v>
      </c>
    </row>
    <row r="126" spans="1:9" ht="15.75" customHeight="1" x14ac:dyDescent="0.2">
      <c r="A126" s="18" t="s">
        <v>44</v>
      </c>
      <c r="B126" s="20" t="s">
        <v>20</v>
      </c>
      <c r="C126" s="20" t="s">
        <v>76</v>
      </c>
      <c r="D126" s="21" t="s">
        <v>77</v>
      </c>
      <c r="E126" s="104"/>
      <c r="F126" s="18">
        <v>331625</v>
      </c>
      <c r="G126" s="19" t="s">
        <v>177</v>
      </c>
      <c r="H126" s="18">
        <v>9</v>
      </c>
      <c r="I126" s="18" t="s">
        <v>48</v>
      </c>
    </row>
    <row r="127" spans="1:9" ht="15.75" customHeight="1" x14ac:dyDescent="0.2">
      <c r="A127" s="18" t="s">
        <v>44</v>
      </c>
      <c r="B127" s="20" t="s">
        <v>20</v>
      </c>
      <c r="C127" s="20" t="s">
        <v>76</v>
      </c>
      <c r="D127" s="21" t="s">
        <v>77</v>
      </c>
      <c r="E127" s="104"/>
      <c r="F127" s="18">
        <v>331626</v>
      </c>
      <c r="G127" s="19" t="s">
        <v>178</v>
      </c>
      <c r="H127" s="18">
        <v>9</v>
      </c>
      <c r="I127" s="18" t="s">
        <v>48</v>
      </c>
    </row>
    <row r="128" spans="1:9" ht="15.75" customHeight="1" x14ac:dyDescent="0.2">
      <c r="A128" s="18" t="s">
        <v>44</v>
      </c>
      <c r="B128" s="20" t="s">
        <v>20</v>
      </c>
      <c r="C128" s="20" t="s">
        <v>76</v>
      </c>
      <c r="D128" s="21" t="s">
        <v>77</v>
      </c>
      <c r="E128" s="104"/>
      <c r="F128" s="18">
        <v>331627</v>
      </c>
      <c r="G128" s="19" t="s">
        <v>179</v>
      </c>
      <c r="H128" s="18">
        <v>8</v>
      </c>
      <c r="I128" s="18" t="s">
        <v>48</v>
      </c>
    </row>
    <row r="129" spans="1:9" ht="15.75" customHeight="1" x14ac:dyDescent="0.2">
      <c r="A129" s="18" t="s">
        <v>44</v>
      </c>
      <c r="B129" s="20" t="s">
        <v>20</v>
      </c>
      <c r="C129" s="20" t="s">
        <v>76</v>
      </c>
      <c r="D129" s="21" t="s">
        <v>77</v>
      </c>
      <c r="E129" s="104"/>
      <c r="F129" s="18">
        <v>331628</v>
      </c>
      <c r="G129" s="19" t="s">
        <v>180</v>
      </c>
      <c r="H129" s="18">
        <v>8</v>
      </c>
      <c r="I129" s="18" t="s">
        <v>48</v>
      </c>
    </row>
    <row r="130" spans="1:9" ht="15.75" customHeight="1" x14ac:dyDescent="0.2">
      <c r="A130" s="18" t="s">
        <v>44</v>
      </c>
      <c r="B130" s="20" t="s">
        <v>20</v>
      </c>
      <c r="C130" s="20" t="s">
        <v>76</v>
      </c>
      <c r="D130" s="21" t="s">
        <v>77</v>
      </c>
      <c r="E130" s="104"/>
      <c r="F130" s="18">
        <v>331629</v>
      </c>
      <c r="G130" s="19" t="s">
        <v>181</v>
      </c>
      <c r="H130" s="18">
        <v>6</v>
      </c>
      <c r="I130" s="18" t="s">
        <v>48</v>
      </c>
    </row>
    <row r="131" spans="1:9" ht="15.75" customHeight="1" x14ac:dyDescent="0.2">
      <c r="A131" s="18" t="s">
        <v>44</v>
      </c>
      <c r="B131" s="20" t="s">
        <v>20</v>
      </c>
      <c r="C131" s="20" t="s">
        <v>76</v>
      </c>
      <c r="D131" s="21" t="s">
        <v>77</v>
      </c>
      <c r="E131" s="104"/>
      <c r="F131" s="18">
        <v>331630</v>
      </c>
      <c r="G131" s="19" t="s">
        <v>182</v>
      </c>
      <c r="H131" s="18">
        <v>6</v>
      </c>
      <c r="I131" s="18" t="s">
        <v>48</v>
      </c>
    </row>
    <row r="132" spans="1:9" ht="15.75" customHeight="1" x14ac:dyDescent="0.2">
      <c r="A132" s="18" t="s">
        <v>44</v>
      </c>
      <c r="B132" s="20" t="s">
        <v>20</v>
      </c>
      <c r="C132" s="20" t="s">
        <v>76</v>
      </c>
      <c r="D132" s="21" t="s">
        <v>77</v>
      </c>
      <c r="E132" s="104"/>
      <c r="F132" s="18">
        <v>331631</v>
      </c>
      <c r="G132" s="19" t="s">
        <v>183</v>
      </c>
      <c r="H132" s="18">
        <v>6</v>
      </c>
      <c r="I132" s="18" t="s">
        <v>48</v>
      </c>
    </row>
    <row r="133" spans="1:9" ht="15.75" customHeight="1" x14ac:dyDescent="0.2">
      <c r="A133" s="18" t="s">
        <v>44</v>
      </c>
      <c r="B133" s="20" t="s">
        <v>20</v>
      </c>
      <c r="C133" s="20" t="s">
        <v>76</v>
      </c>
      <c r="D133" s="21" t="s">
        <v>77</v>
      </c>
      <c r="E133" s="104"/>
      <c r="F133" s="18">
        <v>331632</v>
      </c>
      <c r="G133" s="19" t="s">
        <v>184</v>
      </c>
      <c r="H133" s="18">
        <v>6</v>
      </c>
      <c r="I133" s="18" t="s">
        <v>48</v>
      </c>
    </row>
    <row r="134" spans="1:9" ht="15.75" customHeight="1" x14ac:dyDescent="0.2">
      <c r="A134" s="18" t="s">
        <v>44</v>
      </c>
      <c r="B134" s="20" t="s">
        <v>20</v>
      </c>
      <c r="C134" s="20" t="s">
        <v>76</v>
      </c>
      <c r="D134" s="21" t="s">
        <v>77</v>
      </c>
      <c r="E134" s="104"/>
      <c r="F134" s="18">
        <v>331635</v>
      </c>
      <c r="G134" s="19" t="s">
        <v>185</v>
      </c>
      <c r="H134" s="18">
        <v>1</v>
      </c>
      <c r="I134" s="18" t="s">
        <v>48</v>
      </c>
    </row>
    <row r="135" spans="1:9" ht="15.75" customHeight="1" x14ac:dyDescent="0.2">
      <c r="A135" s="18" t="s">
        <v>44</v>
      </c>
      <c r="B135" s="20" t="s">
        <v>20</v>
      </c>
      <c r="C135" s="20" t="s">
        <v>76</v>
      </c>
      <c r="D135" s="21" t="s">
        <v>77</v>
      </c>
      <c r="E135" s="104"/>
      <c r="F135" s="18">
        <v>331636</v>
      </c>
      <c r="G135" s="19" t="s">
        <v>186</v>
      </c>
      <c r="H135" s="18">
        <v>1</v>
      </c>
      <c r="I135" s="18" t="s">
        <v>48</v>
      </c>
    </row>
    <row r="136" spans="1:9" ht="15.75" customHeight="1" x14ac:dyDescent="0.2">
      <c r="A136" s="18" t="s">
        <v>44</v>
      </c>
      <c r="B136" s="20" t="s">
        <v>20</v>
      </c>
      <c r="C136" s="20" t="s">
        <v>76</v>
      </c>
      <c r="D136" s="21" t="s">
        <v>77</v>
      </c>
      <c r="E136" s="104"/>
      <c r="F136" s="18">
        <v>331637</v>
      </c>
      <c r="G136" s="19" t="s">
        <v>187</v>
      </c>
      <c r="H136" s="18">
        <v>1</v>
      </c>
      <c r="I136" s="18" t="s">
        <v>48</v>
      </c>
    </row>
    <row r="137" spans="1:9" ht="15.75" customHeight="1" x14ac:dyDescent="0.2">
      <c r="A137" s="18" t="s">
        <v>44</v>
      </c>
      <c r="B137" s="20" t="s">
        <v>20</v>
      </c>
      <c r="C137" s="20" t="s">
        <v>76</v>
      </c>
      <c r="D137" s="21" t="s">
        <v>77</v>
      </c>
      <c r="E137" s="104"/>
      <c r="F137" s="18">
        <v>331638</v>
      </c>
      <c r="G137" s="19" t="s">
        <v>188</v>
      </c>
      <c r="H137" s="18">
        <v>1</v>
      </c>
      <c r="I137" s="18" t="s">
        <v>48</v>
      </c>
    </row>
    <row r="138" spans="1:9" ht="15.75" customHeight="1" x14ac:dyDescent="0.2">
      <c r="A138" s="18" t="s">
        <v>44</v>
      </c>
      <c r="B138" s="20" t="s">
        <v>20</v>
      </c>
      <c r="C138" s="20" t="s">
        <v>76</v>
      </c>
      <c r="D138" s="21" t="s">
        <v>77</v>
      </c>
      <c r="E138" s="104"/>
      <c r="F138" s="18">
        <v>331640</v>
      </c>
      <c r="G138" s="19" t="s">
        <v>189</v>
      </c>
      <c r="H138" s="18">
        <v>1</v>
      </c>
      <c r="I138" s="18" t="s">
        <v>48</v>
      </c>
    </row>
    <row r="139" spans="1:9" ht="15.75" customHeight="1" x14ac:dyDescent="0.2">
      <c r="A139" s="18" t="s">
        <v>44</v>
      </c>
      <c r="B139" s="20" t="s">
        <v>20</v>
      </c>
      <c r="C139" s="20" t="s">
        <v>76</v>
      </c>
      <c r="D139" s="21" t="s">
        <v>77</v>
      </c>
      <c r="E139" s="104"/>
      <c r="F139" s="18">
        <v>331641</v>
      </c>
      <c r="G139" s="19" t="s">
        <v>190</v>
      </c>
      <c r="H139" s="18">
        <v>1</v>
      </c>
      <c r="I139" s="18" t="s">
        <v>48</v>
      </c>
    </row>
    <row r="140" spans="1:9" ht="15.75" customHeight="1" x14ac:dyDescent="0.2">
      <c r="A140" s="18" t="s">
        <v>44</v>
      </c>
      <c r="B140" s="20" t="s">
        <v>20</v>
      </c>
      <c r="C140" s="20" t="s">
        <v>76</v>
      </c>
      <c r="D140" s="21" t="s">
        <v>77</v>
      </c>
      <c r="E140" s="104"/>
      <c r="F140" s="18">
        <v>331642</v>
      </c>
      <c r="G140" s="19" t="s">
        <v>191</v>
      </c>
      <c r="H140" s="18">
        <v>1</v>
      </c>
      <c r="I140" s="18" t="s">
        <v>48</v>
      </c>
    </row>
    <row r="141" spans="1:9" ht="15.75" customHeight="1" x14ac:dyDescent="0.2">
      <c r="A141" s="18" t="s">
        <v>44</v>
      </c>
      <c r="B141" s="20" t="s">
        <v>20</v>
      </c>
      <c r="C141" s="20" t="s">
        <v>76</v>
      </c>
      <c r="D141" s="21" t="s">
        <v>77</v>
      </c>
      <c r="E141" s="104"/>
      <c r="F141" s="18">
        <v>331643</v>
      </c>
      <c r="G141" s="19" t="s">
        <v>192</v>
      </c>
      <c r="H141" s="18">
        <v>1</v>
      </c>
      <c r="I141" s="18" t="s">
        <v>48</v>
      </c>
    </row>
    <row r="142" spans="1:9" ht="15.75" customHeight="1" x14ac:dyDescent="0.2">
      <c r="A142" s="18" t="s">
        <v>44</v>
      </c>
      <c r="B142" s="20" t="s">
        <v>20</v>
      </c>
      <c r="C142" s="20" t="s">
        <v>76</v>
      </c>
      <c r="D142" s="21" t="s">
        <v>77</v>
      </c>
      <c r="E142" s="104"/>
      <c r="F142" s="18">
        <v>331645</v>
      </c>
      <c r="G142" s="19" t="s">
        <v>193</v>
      </c>
      <c r="H142" s="18">
        <v>1</v>
      </c>
      <c r="I142" s="18" t="s">
        <v>48</v>
      </c>
    </row>
    <row r="143" spans="1:9" ht="15.75" customHeight="1" x14ac:dyDescent="0.2">
      <c r="A143" s="18" t="s">
        <v>44</v>
      </c>
      <c r="B143" s="20" t="s">
        <v>20</v>
      </c>
      <c r="C143" s="20" t="s">
        <v>76</v>
      </c>
      <c r="D143" s="21" t="s">
        <v>77</v>
      </c>
      <c r="E143" s="104"/>
      <c r="F143" s="18">
        <v>331646</v>
      </c>
      <c r="G143" s="19" t="s">
        <v>194</v>
      </c>
      <c r="H143" s="18">
        <v>1</v>
      </c>
      <c r="I143" s="18" t="s">
        <v>168</v>
      </c>
    </row>
    <row r="144" spans="1:9" ht="15.75" customHeight="1" x14ac:dyDescent="0.2">
      <c r="A144" s="18" t="s">
        <v>44</v>
      </c>
      <c r="B144" s="20" t="s">
        <v>20</v>
      </c>
      <c r="C144" s="20" t="s">
        <v>76</v>
      </c>
      <c r="D144" s="21" t="s">
        <v>77</v>
      </c>
      <c r="E144" s="104"/>
      <c r="F144" s="18">
        <v>331647</v>
      </c>
      <c r="G144" s="19" t="s">
        <v>195</v>
      </c>
      <c r="H144" s="18">
        <v>1</v>
      </c>
      <c r="I144" s="18" t="s">
        <v>168</v>
      </c>
    </row>
    <row r="145" spans="1:9" ht="15.75" customHeight="1" x14ac:dyDescent="0.2">
      <c r="A145" s="18" t="s">
        <v>44</v>
      </c>
      <c r="B145" s="20" t="s">
        <v>20</v>
      </c>
      <c r="C145" s="20" t="s">
        <v>76</v>
      </c>
      <c r="D145" s="21" t="s">
        <v>77</v>
      </c>
      <c r="E145" s="105"/>
      <c r="F145" s="18">
        <v>331648</v>
      </c>
      <c r="G145" s="19" t="s">
        <v>196</v>
      </c>
      <c r="H145" s="18">
        <v>1</v>
      </c>
      <c r="I145" s="18" t="s">
        <v>168</v>
      </c>
    </row>
    <row r="146" spans="1:9" ht="15.75" customHeight="1" x14ac:dyDescent="0.2">
      <c r="A146" s="18" t="s">
        <v>44</v>
      </c>
      <c r="B146" s="20" t="s">
        <v>20</v>
      </c>
      <c r="C146" s="20" t="s">
        <v>170</v>
      </c>
      <c r="D146" s="21" t="s">
        <v>77</v>
      </c>
      <c r="E146" s="103" t="e" vm="16">
        <v>#VALUE!</v>
      </c>
      <c r="F146" s="18">
        <v>31605</v>
      </c>
      <c r="G146" s="19" t="s">
        <v>197</v>
      </c>
      <c r="H146" s="18">
        <v>50</v>
      </c>
      <c r="I146" s="18" t="s">
        <v>48</v>
      </c>
    </row>
    <row r="147" spans="1:9" ht="15.75" customHeight="1" x14ac:dyDescent="0.2">
      <c r="A147" s="18" t="s">
        <v>44</v>
      </c>
      <c r="B147" s="20" t="s">
        <v>20</v>
      </c>
      <c r="C147" s="20" t="s">
        <v>170</v>
      </c>
      <c r="D147" s="21" t="s">
        <v>77</v>
      </c>
      <c r="E147" s="104"/>
      <c r="F147" s="18">
        <v>31612</v>
      </c>
      <c r="G147" s="19" t="s">
        <v>198</v>
      </c>
      <c r="H147" s="18">
        <v>50</v>
      </c>
      <c r="I147" s="18" t="s">
        <v>48</v>
      </c>
    </row>
    <row r="148" spans="1:9" ht="15.75" customHeight="1" x14ac:dyDescent="0.2">
      <c r="A148" s="18" t="s">
        <v>44</v>
      </c>
      <c r="B148" s="20" t="s">
        <v>20</v>
      </c>
      <c r="C148" s="20" t="s">
        <v>170</v>
      </c>
      <c r="D148" s="21" t="s">
        <v>77</v>
      </c>
      <c r="E148" s="104"/>
      <c r="F148" s="18">
        <v>31614</v>
      </c>
      <c r="G148" s="19" t="s">
        <v>199</v>
      </c>
      <c r="H148" s="18">
        <v>25</v>
      </c>
      <c r="I148" s="18" t="s">
        <v>48</v>
      </c>
    </row>
    <row r="149" spans="1:9" ht="15.75" customHeight="1" x14ac:dyDescent="0.2">
      <c r="A149" s="18" t="s">
        <v>44</v>
      </c>
      <c r="B149" s="20" t="s">
        <v>20</v>
      </c>
      <c r="C149" s="20" t="s">
        <v>170</v>
      </c>
      <c r="D149" s="21" t="s">
        <v>77</v>
      </c>
      <c r="E149" s="104"/>
      <c r="F149" s="18">
        <v>31615</v>
      </c>
      <c r="G149" s="19" t="s">
        <v>200</v>
      </c>
      <c r="H149" s="18">
        <v>25</v>
      </c>
      <c r="I149" s="18" t="s">
        <v>48</v>
      </c>
    </row>
    <row r="150" spans="1:9" ht="15.75" customHeight="1" x14ac:dyDescent="0.2">
      <c r="A150" s="18" t="s">
        <v>44</v>
      </c>
      <c r="B150" s="20" t="s">
        <v>20</v>
      </c>
      <c r="C150" s="20" t="s">
        <v>170</v>
      </c>
      <c r="D150" s="21" t="s">
        <v>77</v>
      </c>
      <c r="E150" s="104"/>
      <c r="F150" s="18">
        <v>31616</v>
      </c>
      <c r="G150" s="19" t="s">
        <v>201</v>
      </c>
      <c r="H150" s="18">
        <v>15</v>
      </c>
      <c r="I150" s="18" t="s">
        <v>48</v>
      </c>
    </row>
    <row r="151" spans="1:9" ht="15.75" customHeight="1" x14ac:dyDescent="0.2">
      <c r="A151" s="18" t="s">
        <v>44</v>
      </c>
      <c r="B151" s="20" t="s">
        <v>20</v>
      </c>
      <c r="C151" s="20" t="s">
        <v>170</v>
      </c>
      <c r="D151" s="21" t="s">
        <v>77</v>
      </c>
      <c r="E151" s="104"/>
      <c r="F151" s="18">
        <v>31617</v>
      </c>
      <c r="G151" s="19" t="s">
        <v>202</v>
      </c>
      <c r="H151" s="18">
        <v>15</v>
      </c>
      <c r="I151" s="18" t="s">
        <v>48</v>
      </c>
    </row>
    <row r="152" spans="1:9" ht="15.75" customHeight="1" x14ac:dyDescent="0.2">
      <c r="A152" s="18" t="s">
        <v>44</v>
      </c>
      <c r="B152" s="20" t="s">
        <v>20</v>
      </c>
      <c r="C152" s="20" t="s">
        <v>170</v>
      </c>
      <c r="D152" s="21" t="s">
        <v>77</v>
      </c>
      <c r="E152" s="104"/>
      <c r="F152" s="18">
        <v>31620</v>
      </c>
      <c r="G152" s="19" t="s">
        <v>203</v>
      </c>
      <c r="H152" s="18">
        <v>10</v>
      </c>
      <c r="I152" s="18" t="s">
        <v>48</v>
      </c>
    </row>
    <row r="153" spans="1:9" ht="15.75" customHeight="1" x14ac:dyDescent="0.2">
      <c r="A153" s="18" t="s">
        <v>44</v>
      </c>
      <c r="B153" s="20" t="s">
        <v>20</v>
      </c>
      <c r="C153" s="20" t="s">
        <v>170</v>
      </c>
      <c r="D153" s="21" t="s">
        <v>77</v>
      </c>
      <c r="E153" s="104"/>
      <c r="F153" s="18">
        <v>31622</v>
      </c>
      <c r="G153" s="19" t="s">
        <v>204</v>
      </c>
      <c r="H153" s="18">
        <v>5</v>
      </c>
      <c r="I153" s="18" t="s">
        <v>48</v>
      </c>
    </row>
    <row r="154" spans="1:9" ht="15.75" customHeight="1" x14ac:dyDescent="0.2">
      <c r="A154" s="18" t="s">
        <v>44</v>
      </c>
      <c r="B154" s="20" t="s">
        <v>20</v>
      </c>
      <c r="C154" s="20" t="s">
        <v>170</v>
      </c>
      <c r="D154" s="21" t="s">
        <v>77</v>
      </c>
      <c r="E154" s="104"/>
      <c r="F154" s="18">
        <v>31633</v>
      </c>
      <c r="G154" s="19" t="s">
        <v>205</v>
      </c>
      <c r="H154" s="18">
        <v>1</v>
      </c>
      <c r="I154" s="18" t="s">
        <v>168</v>
      </c>
    </row>
    <row r="155" spans="1:9" ht="15.75" customHeight="1" x14ac:dyDescent="0.2">
      <c r="A155" s="18" t="s">
        <v>44</v>
      </c>
      <c r="B155" s="20" t="s">
        <v>20</v>
      </c>
      <c r="C155" s="20" t="s">
        <v>170</v>
      </c>
      <c r="D155" s="21" t="s">
        <v>77</v>
      </c>
      <c r="E155" s="105"/>
      <c r="F155" s="18">
        <v>31634</v>
      </c>
      <c r="G155" s="19" t="s">
        <v>206</v>
      </c>
      <c r="H155" s="18">
        <v>1</v>
      </c>
      <c r="I155" s="18" t="s">
        <v>168</v>
      </c>
    </row>
    <row r="156" spans="1:9" ht="15.75" customHeight="1" x14ac:dyDescent="0.2">
      <c r="A156" s="18" t="s">
        <v>44</v>
      </c>
      <c r="B156" s="20" t="s">
        <v>20</v>
      </c>
      <c r="C156" s="20" t="s">
        <v>76</v>
      </c>
      <c r="D156" s="21" t="s">
        <v>77</v>
      </c>
      <c r="E156" s="103" t="e" vm="17">
        <v>#VALUE!</v>
      </c>
      <c r="F156" s="18">
        <v>339001</v>
      </c>
      <c r="G156" s="19" t="s">
        <v>207</v>
      </c>
      <c r="H156" s="18">
        <v>10</v>
      </c>
      <c r="I156" s="18" t="s">
        <v>48</v>
      </c>
    </row>
    <row r="157" spans="1:9" ht="15.75" customHeight="1" x14ac:dyDescent="0.2">
      <c r="A157" s="18" t="s">
        <v>44</v>
      </c>
      <c r="B157" s="20" t="s">
        <v>20</v>
      </c>
      <c r="C157" s="20" t="s">
        <v>76</v>
      </c>
      <c r="D157" s="21" t="s">
        <v>77</v>
      </c>
      <c r="E157" s="104"/>
      <c r="F157" s="18">
        <v>339002</v>
      </c>
      <c r="G157" s="19" t="s">
        <v>208</v>
      </c>
      <c r="H157" s="18">
        <v>10</v>
      </c>
      <c r="I157" s="18" t="s">
        <v>48</v>
      </c>
    </row>
    <row r="158" spans="1:9" ht="15.75" customHeight="1" x14ac:dyDescent="0.2">
      <c r="A158" s="18" t="s">
        <v>44</v>
      </c>
      <c r="B158" s="20" t="s">
        <v>20</v>
      </c>
      <c r="C158" s="20" t="s">
        <v>76</v>
      </c>
      <c r="D158" s="21" t="s">
        <v>77</v>
      </c>
      <c r="E158" s="104"/>
      <c r="F158" s="18">
        <v>339003</v>
      </c>
      <c r="G158" s="19" t="s">
        <v>209</v>
      </c>
      <c r="H158" s="18">
        <v>10</v>
      </c>
      <c r="I158" s="18" t="s">
        <v>48</v>
      </c>
    </row>
    <row r="159" spans="1:9" ht="15.75" customHeight="1" x14ac:dyDescent="0.2">
      <c r="A159" s="18" t="s">
        <v>44</v>
      </c>
      <c r="B159" s="20" t="s">
        <v>20</v>
      </c>
      <c r="C159" s="20" t="s">
        <v>76</v>
      </c>
      <c r="D159" s="21" t="s">
        <v>77</v>
      </c>
      <c r="E159" s="104"/>
      <c r="F159" s="18">
        <v>339004</v>
      </c>
      <c r="G159" s="19" t="s">
        <v>210</v>
      </c>
      <c r="H159" s="18">
        <v>12</v>
      </c>
      <c r="I159" s="18" t="s">
        <v>48</v>
      </c>
    </row>
    <row r="160" spans="1:9" ht="15.75" customHeight="1" x14ac:dyDescent="0.2">
      <c r="A160" s="18" t="s">
        <v>44</v>
      </c>
      <c r="B160" s="20" t="s">
        <v>20</v>
      </c>
      <c r="C160" s="20" t="s">
        <v>76</v>
      </c>
      <c r="D160" s="21" t="s">
        <v>77</v>
      </c>
      <c r="E160" s="104"/>
      <c r="F160" s="18">
        <v>339005</v>
      </c>
      <c r="G160" s="19" t="s">
        <v>211</v>
      </c>
      <c r="H160" s="18">
        <v>10</v>
      </c>
      <c r="I160" s="18" t="s">
        <v>48</v>
      </c>
    </row>
    <row r="161" spans="1:9" ht="15.75" customHeight="1" x14ac:dyDescent="0.2">
      <c r="A161" s="18" t="s">
        <v>44</v>
      </c>
      <c r="B161" s="20" t="s">
        <v>20</v>
      </c>
      <c r="C161" s="20" t="s">
        <v>76</v>
      </c>
      <c r="D161" s="21" t="s">
        <v>77</v>
      </c>
      <c r="E161" s="104"/>
      <c r="F161" s="18">
        <v>339006</v>
      </c>
      <c r="G161" s="19" t="s">
        <v>212</v>
      </c>
      <c r="H161" s="18">
        <v>5</v>
      </c>
      <c r="I161" s="18" t="s">
        <v>48</v>
      </c>
    </row>
    <row r="162" spans="1:9" ht="15.75" customHeight="1" x14ac:dyDescent="0.2">
      <c r="A162" s="18" t="s">
        <v>44</v>
      </c>
      <c r="B162" s="20" t="s">
        <v>20</v>
      </c>
      <c r="C162" s="20" t="s">
        <v>76</v>
      </c>
      <c r="D162" s="21" t="s">
        <v>77</v>
      </c>
      <c r="E162" s="105"/>
      <c r="F162" s="18">
        <v>339007</v>
      </c>
      <c r="G162" s="19" t="s">
        <v>213</v>
      </c>
      <c r="H162" s="18">
        <v>4</v>
      </c>
      <c r="I162" s="18" t="s">
        <v>48</v>
      </c>
    </row>
    <row r="163" spans="1:9" ht="15.75" customHeight="1" x14ac:dyDescent="0.2">
      <c r="A163" s="18" t="s">
        <v>44</v>
      </c>
      <c r="B163" s="20" t="s">
        <v>20</v>
      </c>
      <c r="C163" s="20" t="s">
        <v>76</v>
      </c>
      <c r="D163" s="21" t="s">
        <v>77</v>
      </c>
      <c r="E163" s="103" t="e" vm="18">
        <v>#VALUE!</v>
      </c>
      <c r="F163" s="18">
        <v>333702</v>
      </c>
      <c r="G163" s="19" t="s">
        <v>214</v>
      </c>
      <c r="H163" s="18">
        <v>10</v>
      </c>
      <c r="I163" s="18" t="s">
        <v>48</v>
      </c>
    </row>
    <row r="164" spans="1:9" ht="15.75" customHeight="1" x14ac:dyDescent="0.2">
      <c r="A164" s="18" t="s">
        <v>44</v>
      </c>
      <c r="B164" s="20" t="s">
        <v>20</v>
      </c>
      <c r="C164" s="20" t="s">
        <v>76</v>
      </c>
      <c r="D164" s="21" t="s">
        <v>77</v>
      </c>
      <c r="E164" s="104"/>
      <c r="F164" s="18">
        <v>333706</v>
      </c>
      <c r="G164" s="19" t="s">
        <v>215</v>
      </c>
      <c r="H164" s="18">
        <v>10</v>
      </c>
      <c r="I164" s="18" t="s">
        <v>48</v>
      </c>
    </row>
    <row r="165" spans="1:9" ht="15.75" customHeight="1" x14ac:dyDescent="0.2">
      <c r="A165" s="18" t="s">
        <v>44</v>
      </c>
      <c r="B165" s="20" t="s">
        <v>20</v>
      </c>
      <c r="C165" s="20" t="s">
        <v>76</v>
      </c>
      <c r="D165" s="21" t="s">
        <v>77</v>
      </c>
      <c r="E165" s="104"/>
      <c r="F165" s="18">
        <v>333703</v>
      </c>
      <c r="G165" s="19" t="s">
        <v>216</v>
      </c>
      <c r="H165" s="18">
        <v>10</v>
      </c>
      <c r="I165" s="18" t="s">
        <v>48</v>
      </c>
    </row>
    <row r="166" spans="1:9" ht="15.75" customHeight="1" x14ac:dyDescent="0.2">
      <c r="A166" s="18" t="s">
        <v>44</v>
      </c>
      <c r="B166" s="20" t="s">
        <v>20</v>
      </c>
      <c r="C166" s="20" t="s">
        <v>76</v>
      </c>
      <c r="D166" s="21" t="s">
        <v>77</v>
      </c>
      <c r="E166" s="104"/>
      <c r="F166" s="18">
        <v>333704</v>
      </c>
      <c r="G166" s="19" t="s">
        <v>217</v>
      </c>
      <c r="H166" s="18">
        <v>10</v>
      </c>
      <c r="I166" s="18" t="s">
        <v>48</v>
      </c>
    </row>
    <row r="167" spans="1:9" ht="15.75" customHeight="1" x14ac:dyDescent="0.2">
      <c r="A167" s="18" t="s">
        <v>44</v>
      </c>
      <c r="B167" s="20" t="s">
        <v>20</v>
      </c>
      <c r="C167" s="20" t="s">
        <v>76</v>
      </c>
      <c r="D167" s="21" t="s">
        <v>77</v>
      </c>
      <c r="E167" s="104"/>
      <c r="F167" s="18">
        <v>333707</v>
      </c>
      <c r="G167" s="19" t="s">
        <v>218</v>
      </c>
      <c r="H167" s="18">
        <v>5</v>
      </c>
      <c r="I167" s="18" t="s">
        <v>48</v>
      </c>
    </row>
    <row r="168" spans="1:9" ht="15.75" customHeight="1" x14ac:dyDescent="0.2">
      <c r="A168" s="18" t="s">
        <v>44</v>
      </c>
      <c r="B168" s="20" t="s">
        <v>20</v>
      </c>
      <c r="C168" s="20" t="s">
        <v>76</v>
      </c>
      <c r="D168" s="21" t="s">
        <v>77</v>
      </c>
      <c r="E168" s="104"/>
      <c r="F168" s="18">
        <v>333708</v>
      </c>
      <c r="G168" s="19" t="s">
        <v>219</v>
      </c>
      <c r="H168" s="18">
        <v>10</v>
      </c>
      <c r="I168" s="18" t="s">
        <v>48</v>
      </c>
    </row>
    <row r="169" spans="1:9" ht="15.75" customHeight="1" x14ac:dyDescent="0.2">
      <c r="A169" s="18" t="s">
        <v>44</v>
      </c>
      <c r="B169" s="20" t="s">
        <v>20</v>
      </c>
      <c r="C169" s="20" t="s">
        <v>76</v>
      </c>
      <c r="D169" s="21" t="s">
        <v>77</v>
      </c>
      <c r="E169" s="105"/>
      <c r="F169" s="18">
        <v>333705</v>
      </c>
      <c r="G169" s="19" t="s">
        <v>220</v>
      </c>
      <c r="H169" s="18">
        <v>10</v>
      </c>
      <c r="I169" s="18" t="s">
        <v>48</v>
      </c>
    </row>
    <row r="170" spans="1:9" ht="15.75" customHeight="1" x14ac:dyDescent="0.2">
      <c r="A170" s="18" t="s">
        <v>44</v>
      </c>
      <c r="B170" s="20" t="s">
        <v>20</v>
      </c>
      <c r="C170" s="20" t="s">
        <v>170</v>
      </c>
      <c r="D170" s="21" t="s">
        <v>77</v>
      </c>
      <c r="E170" s="103" t="e" vm="19">
        <v>#VALUE!</v>
      </c>
      <c r="F170" s="18">
        <v>35003</v>
      </c>
      <c r="G170" s="19" t="s">
        <v>221</v>
      </c>
      <c r="H170" s="18">
        <v>20</v>
      </c>
      <c r="I170" s="18" t="s">
        <v>48</v>
      </c>
    </row>
    <row r="171" spans="1:9" ht="15.75" customHeight="1" x14ac:dyDescent="0.2">
      <c r="A171" s="18" t="s">
        <v>44</v>
      </c>
      <c r="B171" s="20" t="s">
        <v>20</v>
      </c>
      <c r="C171" s="20" t="s">
        <v>170</v>
      </c>
      <c r="D171" s="21" t="s">
        <v>77</v>
      </c>
      <c r="E171" s="104"/>
      <c r="F171" s="18">
        <v>35005</v>
      </c>
      <c r="G171" s="19" t="s">
        <v>222</v>
      </c>
      <c r="H171" s="18">
        <v>20</v>
      </c>
      <c r="I171" s="18" t="s">
        <v>48</v>
      </c>
    </row>
    <row r="172" spans="1:9" ht="15.75" customHeight="1" x14ac:dyDescent="0.2">
      <c r="A172" s="18" t="s">
        <v>44</v>
      </c>
      <c r="B172" s="20" t="s">
        <v>20</v>
      </c>
      <c r="C172" s="20" t="s">
        <v>170</v>
      </c>
      <c r="D172" s="21" t="s">
        <v>77</v>
      </c>
      <c r="E172" s="104"/>
      <c r="F172" s="18">
        <v>35006</v>
      </c>
      <c r="G172" s="19" t="s">
        <v>223</v>
      </c>
      <c r="H172" s="18">
        <v>15</v>
      </c>
      <c r="I172" s="18" t="s">
        <v>48</v>
      </c>
    </row>
    <row r="173" spans="1:9" ht="15.75" customHeight="1" x14ac:dyDescent="0.2">
      <c r="A173" s="18" t="s">
        <v>44</v>
      </c>
      <c r="B173" s="20" t="s">
        <v>20</v>
      </c>
      <c r="C173" s="20" t="s">
        <v>170</v>
      </c>
      <c r="D173" s="21" t="s">
        <v>77</v>
      </c>
      <c r="E173" s="104"/>
      <c r="F173" s="18">
        <v>35007</v>
      </c>
      <c r="G173" s="19" t="s">
        <v>224</v>
      </c>
      <c r="H173" s="18">
        <v>10</v>
      </c>
      <c r="I173" s="18" t="s">
        <v>48</v>
      </c>
    </row>
    <row r="174" spans="1:9" ht="15.75" customHeight="1" x14ac:dyDescent="0.2">
      <c r="A174" s="18" t="s">
        <v>44</v>
      </c>
      <c r="B174" s="20" t="s">
        <v>20</v>
      </c>
      <c r="C174" s="20" t="s">
        <v>170</v>
      </c>
      <c r="D174" s="21" t="s">
        <v>77</v>
      </c>
      <c r="E174" s="104"/>
      <c r="F174" s="18">
        <v>35008</v>
      </c>
      <c r="G174" s="19" t="s">
        <v>225</v>
      </c>
      <c r="H174" s="18">
        <v>10</v>
      </c>
      <c r="I174" s="18" t="s">
        <v>48</v>
      </c>
    </row>
    <row r="175" spans="1:9" ht="15.75" customHeight="1" x14ac:dyDescent="0.2">
      <c r="A175" s="18" t="s">
        <v>44</v>
      </c>
      <c r="B175" s="20" t="s">
        <v>20</v>
      </c>
      <c r="C175" s="20" t="s">
        <v>170</v>
      </c>
      <c r="D175" s="21" t="s">
        <v>77</v>
      </c>
      <c r="E175" s="104"/>
      <c r="F175" s="18">
        <v>35009</v>
      </c>
      <c r="G175" s="19" t="s">
        <v>226</v>
      </c>
      <c r="H175" s="18">
        <v>10</v>
      </c>
      <c r="I175" s="18" t="s">
        <v>48</v>
      </c>
    </row>
    <row r="176" spans="1:9" ht="15.75" customHeight="1" x14ac:dyDescent="0.2">
      <c r="A176" s="18" t="s">
        <v>44</v>
      </c>
      <c r="B176" s="20" t="s">
        <v>20</v>
      </c>
      <c r="C176" s="20" t="s">
        <v>170</v>
      </c>
      <c r="D176" s="21" t="s">
        <v>77</v>
      </c>
      <c r="E176" s="104"/>
      <c r="F176" s="18">
        <v>35010</v>
      </c>
      <c r="G176" s="19" t="s">
        <v>227</v>
      </c>
      <c r="H176" s="18">
        <v>10</v>
      </c>
      <c r="I176" s="18" t="s">
        <v>48</v>
      </c>
    </row>
    <row r="177" spans="1:9" ht="15.75" customHeight="1" x14ac:dyDescent="0.2">
      <c r="A177" s="18" t="s">
        <v>44</v>
      </c>
      <c r="B177" s="20" t="s">
        <v>20</v>
      </c>
      <c r="C177" s="20" t="s">
        <v>170</v>
      </c>
      <c r="D177" s="21" t="s">
        <v>77</v>
      </c>
      <c r="E177" s="104"/>
      <c r="F177" s="18">
        <v>35011</v>
      </c>
      <c r="G177" s="19" t="s">
        <v>228</v>
      </c>
      <c r="H177" s="18">
        <v>10</v>
      </c>
      <c r="I177" s="18" t="s">
        <v>48</v>
      </c>
    </row>
    <row r="178" spans="1:9" ht="15.75" customHeight="1" x14ac:dyDescent="0.2">
      <c r="A178" s="18" t="s">
        <v>44</v>
      </c>
      <c r="B178" s="20" t="s">
        <v>20</v>
      </c>
      <c r="C178" s="20" t="s">
        <v>170</v>
      </c>
      <c r="D178" s="21" t="s">
        <v>77</v>
      </c>
      <c r="E178" s="104"/>
      <c r="F178" s="18">
        <v>35012</v>
      </c>
      <c r="G178" s="19" t="s">
        <v>229</v>
      </c>
      <c r="H178" s="18">
        <v>10</v>
      </c>
      <c r="I178" s="18" t="s">
        <v>48</v>
      </c>
    </row>
    <row r="179" spans="1:9" ht="15.75" customHeight="1" x14ac:dyDescent="0.2">
      <c r="A179" s="18" t="s">
        <v>44</v>
      </c>
      <c r="B179" s="20" t="s">
        <v>20</v>
      </c>
      <c r="C179" s="20" t="s">
        <v>170</v>
      </c>
      <c r="D179" s="21" t="s">
        <v>77</v>
      </c>
      <c r="E179" s="104"/>
      <c r="F179" s="18">
        <v>35013</v>
      </c>
      <c r="G179" s="19" t="s">
        <v>230</v>
      </c>
      <c r="H179" s="18">
        <v>10</v>
      </c>
      <c r="I179" s="18" t="s">
        <v>48</v>
      </c>
    </row>
    <row r="180" spans="1:9" ht="15.75" customHeight="1" x14ac:dyDescent="0.2">
      <c r="A180" s="18" t="s">
        <v>44</v>
      </c>
      <c r="B180" s="20" t="s">
        <v>20</v>
      </c>
      <c r="C180" s="20" t="s">
        <v>170</v>
      </c>
      <c r="D180" s="21" t="s">
        <v>77</v>
      </c>
      <c r="E180" s="104"/>
      <c r="F180" s="18">
        <v>35014</v>
      </c>
      <c r="G180" s="19" t="s">
        <v>231</v>
      </c>
      <c r="H180" s="18">
        <v>1</v>
      </c>
      <c r="I180" s="18" t="s">
        <v>48</v>
      </c>
    </row>
    <row r="181" spans="1:9" ht="15.75" customHeight="1" x14ac:dyDescent="0.2">
      <c r="A181" s="18" t="s">
        <v>44</v>
      </c>
      <c r="B181" s="20" t="s">
        <v>20</v>
      </c>
      <c r="C181" s="20" t="s">
        <v>170</v>
      </c>
      <c r="D181" s="21" t="s">
        <v>77</v>
      </c>
      <c r="E181" s="104"/>
      <c r="F181" s="18">
        <v>35015</v>
      </c>
      <c r="G181" s="19" t="s">
        <v>232</v>
      </c>
      <c r="H181" s="18">
        <v>1</v>
      </c>
      <c r="I181" s="18" t="s">
        <v>48</v>
      </c>
    </row>
    <row r="182" spans="1:9" ht="15.75" customHeight="1" x14ac:dyDescent="0.2">
      <c r="A182" s="18" t="s">
        <v>44</v>
      </c>
      <c r="B182" s="20" t="s">
        <v>20</v>
      </c>
      <c r="C182" s="20" t="s">
        <v>170</v>
      </c>
      <c r="D182" s="21" t="s">
        <v>77</v>
      </c>
      <c r="E182" s="104"/>
      <c r="F182" s="18">
        <v>35016</v>
      </c>
      <c r="G182" s="19" t="s">
        <v>233</v>
      </c>
      <c r="H182" s="18">
        <v>1</v>
      </c>
      <c r="I182" s="18" t="s">
        <v>48</v>
      </c>
    </row>
    <row r="183" spans="1:9" ht="15.75" customHeight="1" x14ac:dyDescent="0.2">
      <c r="A183" s="18" t="s">
        <v>44</v>
      </c>
      <c r="B183" s="20" t="s">
        <v>20</v>
      </c>
      <c r="C183" s="20" t="s">
        <v>170</v>
      </c>
      <c r="D183" s="21" t="s">
        <v>77</v>
      </c>
      <c r="E183" s="104"/>
      <c r="F183" s="18">
        <v>35017</v>
      </c>
      <c r="G183" s="19" t="s">
        <v>234</v>
      </c>
      <c r="H183" s="18">
        <v>1</v>
      </c>
      <c r="I183" s="18" t="s">
        <v>48</v>
      </c>
    </row>
    <row r="184" spans="1:9" ht="15.75" customHeight="1" x14ac:dyDescent="0.2">
      <c r="A184" s="18" t="s">
        <v>44</v>
      </c>
      <c r="B184" s="20" t="s">
        <v>20</v>
      </c>
      <c r="C184" s="20" t="s">
        <v>170</v>
      </c>
      <c r="D184" s="21" t="s">
        <v>77</v>
      </c>
      <c r="E184" s="104"/>
      <c r="F184" s="18">
        <v>35018</v>
      </c>
      <c r="G184" s="19" t="s">
        <v>235</v>
      </c>
      <c r="H184" s="18">
        <v>1</v>
      </c>
      <c r="I184" s="18" t="s">
        <v>48</v>
      </c>
    </row>
    <row r="185" spans="1:9" ht="15.75" customHeight="1" x14ac:dyDescent="0.2">
      <c r="A185" s="18" t="s">
        <v>44</v>
      </c>
      <c r="B185" s="20" t="s">
        <v>20</v>
      </c>
      <c r="C185" s="20" t="s">
        <v>170</v>
      </c>
      <c r="D185" s="21" t="s">
        <v>77</v>
      </c>
      <c r="E185" s="104"/>
      <c r="F185" s="18">
        <v>35019</v>
      </c>
      <c r="G185" s="19" t="s">
        <v>236</v>
      </c>
      <c r="H185" s="18">
        <v>1</v>
      </c>
      <c r="I185" s="18" t="s">
        <v>146</v>
      </c>
    </row>
    <row r="186" spans="1:9" ht="15.75" customHeight="1" x14ac:dyDescent="0.2">
      <c r="A186" s="18" t="s">
        <v>44</v>
      </c>
      <c r="B186" s="20" t="s">
        <v>20</v>
      </c>
      <c r="C186" s="20" t="s">
        <v>170</v>
      </c>
      <c r="D186" s="21" t="s">
        <v>77</v>
      </c>
      <c r="E186" s="104"/>
      <c r="F186" s="18">
        <v>35020</v>
      </c>
      <c r="G186" s="19" t="s">
        <v>237</v>
      </c>
      <c r="H186" s="18">
        <v>1</v>
      </c>
      <c r="I186" s="18" t="s">
        <v>48</v>
      </c>
    </row>
    <row r="187" spans="1:9" ht="15.75" customHeight="1" x14ac:dyDescent="0.2">
      <c r="A187" s="18" t="s">
        <v>44</v>
      </c>
      <c r="B187" s="20" t="s">
        <v>20</v>
      </c>
      <c r="C187" s="20" t="s">
        <v>170</v>
      </c>
      <c r="D187" s="21" t="s">
        <v>77</v>
      </c>
      <c r="E187" s="104"/>
      <c r="F187" s="18">
        <v>35021</v>
      </c>
      <c r="G187" s="19" t="s">
        <v>238</v>
      </c>
      <c r="H187" s="18">
        <v>1</v>
      </c>
      <c r="I187" s="18" t="s">
        <v>48</v>
      </c>
    </row>
    <row r="188" spans="1:9" ht="15.75" customHeight="1" x14ac:dyDescent="0.2">
      <c r="A188" s="18" t="s">
        <v>44</v>
      </c>
      <c r="B188" s="20" t="s">
        <v>20</v>
      </c>
      <c r="C188" s="20" t="s">
        <v>170</v>
      </c>
      <c r="D188" s="21" t="s">
        <v>77</v>
      </c>
      <c r="E188" s="104"/>
      <c r="F188" s="18">
        <v>35022</v>
      </c>
      <c r="G188" s="19" t="s">
        <v>239</v>
      </c>
      <c r="H188" s="18">
        <v>1</v>
      </c>
      <c r="I188" s="18" t="s">
        <v>48</v>
      </c>
    </row>
    <row r="189" spans="1:9" ht="15.75" customHeight="1" x14ac:dyDescent="0.2">
      <c r="A189" s="18" t="s">
        <v>44</v>
      </c>
      <c r="B189" s="20" t="s">
        <v>20</v>
      </c>
      <c r="C189" s="20" t="s">
        <v>170</v>
      </c>
      <c r="D189" s="21" t="s">
        <v>77</v>
      </c>
      <c r="E189" s="104"/>
      <c r="F189" s="18">
        <v>35023</v>
      </c>
      <c r="G189" s="19" t="s">
        <v>240</v>
      </c>
      <c r="H189" s="18">
        <v>1</v>
      </c>
      <c r="I189" s="18" t="s">
        <v>48</v>
      </c>
    </row>
    <row r="190" spans="1:9" ht="15.75" customHeight="1" x14ac:dyDescent="0.2">
      <c r="A190" s="18" t="s">
        <v>44</v>
      </c>
      <c r="B190" s="20" t="s">
        <v>20</v>
      </c>
      <c r="C190" s="20" t="s">
        <v>170</v>
      </c>
      <c r="D190" s="21" t="s">
        <v>77</v>
      </c>
      <c r="E190" s="104"/>
      <c r="F190" s="18">
        <v>35024</v>
      </c>
      <c r="G190" s="19" t="s">
        <v>241</v>
      </c>
      <c r="H190" s="18">
        <v>1</v>
      </c>
      <c r="I190" s="18" t="s">
        <v>48</v>
      </c>
    </row>
    <row r="191" spans="1:9" ht="15.75" customHeight="1" x14ac:dyDescent="0.2">
      <c r="A191" s="18" t="s">
        <v>44</v>
      </c>
      <c r="B191" s="20" t="s">
        <v>20</v>
      </c>
      <c r="C191" s="20" t="s">
        <v>170</v>
      </c>
      <c r="D191" s="21" t="s">
        <v>77</v>
      </c>
      <c r="E191" s="104"/>
      <c r="F191" s="18">
        <v>35025</v>
      </c>
      <c r="G191" s="19" t="s">
        <v>242</v>
      </c>
      <c r="H191" s="18">
        <v>1</v>
      </c>
      <c r="I191" s="18" t="s">
        <v>48</v>
      </c>
    </row>
    <row r="192" spans="1:9" ht="15.75" customHeight="1" x14ac:dyDescent="0.2">
      <c r="A192" s="18" t="s">
        <v>44</v>
      </c>
      <c r="B192" s="20" t="s">
        <v>20</v>
      </c>
      <c r="C192" s="20" t="s">
        <v>170</v>
      </c>
      <c r="D192" s="21" t="s">
        <v>77</v>
      </c>
      <c r="E192" s="104"/>
      <c r="F192" s="18">
        <v>35026</v>
      </c>
      <c r="G192" s="19" t="s">
        <v>243</v>
      </c>
      <c r="H192" s="18">
        <v>1</v>
      </c>
      <c r="I192" s="18" t="s">
        <v>48</v>
      </c>
    </row>
    <row r="193" spans="1:9" ht="15.75" customHeight="1" x14ac:dyDescent="0.2">
      <c r="A193" s="18" t="s">
        <v>44</v>
      </c>
      <c r="B193" s="20" t="s">
        <v>20</v>
      </c>
      <c r="C193" s="20" t="s">
        <v>170</v>
      </c>
      <c r="D193" s="21" t="s">
        <v>77</v>
      </c>
      <c r="E193" s="104"/>
      <c r="F193" s="18">
        <v>35027</v>
      </c>
      <c r="G193" s="19" t="s">
        <v>244</v>
      </c>
      <c r="H193" s="18">
        <v>1</v>
      </c>
      <c r="I193" s="18" t="s">
        <v>48</v>
      </c>
    </row>
    <row r="194" spans="1:9" ht="15.75" customHeight="1" x14ac:dyDescent="0.2">
      <c r="A194" s="18" t="s">
        <v>44</v>
      </c>
      <c r="B194" s="20" t="s">
        <v>20</v>
      </c>
      <c r="C194" s="20" t="s">
        <v>170</v>
      </c>
      <c r="D194" s="21" t="s">
        <v>77</v>
      </c>
      <c r="E194" s="104"/>
      <c r="F194" s="18">
        <v>35028</v>
      </c>
      <c r="G194" s="19" t="s">
        <v>245</v>
      </c>
      <c r="H194" s="18">
        <v>1</v>
      </c>
      <c r="I194" s="18" t="s">
        <v>48</v>
      </c>
    </row>
    <row r="195" spans="1:9" ht="15.75" customHeight="1" x14ac:dyDescent="0.2">
      <c r="A195" s="18" t="s">
        <v>44</v>
      </c>
      <c r="B195" s="20" t="s">
        <v>20</v>
      </c>
      <c r="C195" s="20" t="s">
        <v>170</v>
      </c>
      <c r="D195" s="21" t="s">
        <v>77</v>
      </c>
      <c r="E195" s="104"/>
      <c r="F195" s="18">
        <v>35029</v>
      </c>
      <c r="G195" s="19" t="s">
        <v>246</v>
      </c>
      <c r="H195" s="18">
        <v>1</v>
      </c>
      <c r="I195" s="18" t="s">
        <v>48</v>
      </c>
    </row>
    <row r="196" spans="1:9" ht="15.75" customHeight="1" x14ac:dyDescent="0.2">
      <c r="A196" s="18" t="s">
        <v>44</v>
      </c>
      <c r="B196" s="20" t="s">
        <v>20</v>
      </c>
      <c r="C196" s="20" t="s">
        <v>170</v>
      </c>
      <c r="D196" s="21" t="s">
        <v>77</v>
      </c>
      <c r="E196" s="104"/>
      <c r="F196" s="18">
        <v>35030</v>
      </c>
      <c r="G196" s="19" t="s">
        <v>247</v>
      </c>
      <c r="H196" s="18">
        <v>1</v>
      </c>
      <c r="I196" s="18" t="s">
        <v>48</v>
      </c>
    </row>
    <row r="197" spans="1:9" ht="15.75" customHeight="1" x14ac:dyDescent="0.2">
      <c r="A197" s="18" t="s">
        <v>44</v>
      </c>
      <c r="B197" s="20" t="s">
        <v>20</v>
      </c>
      <c r="C197" s="20" t="s">
        <v>170</v>
      </c>
      <c r="D197" s="21" t="s">
        <v>77</v>
      </c>
      <c r="E197" s="105"/>
      <c r="F197" s="18">
        <v>35031</v>
      </c>
      <c r="G197" s="19" t="s">
        <v>248</v>
      </c>
      <c r="H197" s="18">
        <v>1</v>
      </c>
      <c r="I197" s="18" t="s">
        <v>48</v>
      </c>
    </row>
    <row r="198" spans="1:9" ht="15.75" customHeight="1" x14ac:dyDescent="0.2">
      <c r="A198" s="18" t="s">
        <v>44</v>
      </c>
      <c r="B198" s="20" t="s">
        <v>20</v>
      </c>
      <c r="C198" s="20" t="s">
        <v>76</v>
      </c>
      <c r="D198" s="21" t="s">
        <v>77</v>
      </c>
      <c r="E198" s="103" t="e" vm="20">
        <v>#VALUE!</v>
      </c>
      <c r="F198" s="18">
        <v>336001</v>
      </c>
      <c r="G198" s="19" t="s">
        <v>249</v>
      </c>
      <c r="H198" s="18">
        <v>10</v>
      </c>
      <c r="I198" s="18" t="s">
        <v>48</v>
      </c>
    </row>
    <row r="199" spans="1:9" ht="15.75" customHeight="1" x14ac:dyDescent="0.2">
      <c r="A199" s="18" t="s">
        <v>44</v>
      </c>
      <c r="B199" s="20" t="s">
        <v>20</v>
      </c>
      <c r="C199" s="20" t="s">
        <v>76</v>
      </c>
      <c r="D199" s="21" t="s">
        <v>77</v>
      </c>
      <c r="E199" s="104"/>
      <c r="F199" s="18">
        <v>336002</v>
      </c>
      <c r="G199" s="19" t="s">
        <v>250</v>
      </c>
      <c r="H199" s="18">
        <v>10</v>
      </c>
      <c r="I199" s="18" t="s">
        <v>48</v>
      </c>
    </row>
    <row r="200" spans="1:9" ht="15.75" customHeight="1" x14ac:dyDescent="0.2">
      <c r="A200" s="18" t="s">
        <v>44</v>
      </c>
      <c r="B200" s="20" t="s">
        <v>20</v>
      </c>
      <c r="C200" s="20" t="s">
        <v>76</v>
      </c>
      <c r="D200" s="21" t="s">
        <v>77</v>
      </c>
      <c r="E200" s="104"/>
      <c r="F200" s="18">
        <v>336003</v>
      </c>
      <c r="G200" s="19" t="s">
        <v>251</v>
      </c>
      <c r="H200" s="18">
        <v>6</v>
      </c>
      <c r="I200" s="18" t="s">
        <v>48</v>
      </c>
    </row>
    <row r="201" spans="1:9" ht="15.75" customHeight="1" x14ac:dyDescent="0.2">
      <c r="A201" s="18" t="s">
        <v>44</v>
      </c>
      <c r="B201" s="20" t="s">
        <v>20</v>
      </c>
      <c r="C201" s="20" t="s">
        <v>76</v>
      </c>
      <c r="D201" s="21" t="s">
        <v>77</v>
      </c>
      <c r="E201" s="104"/>
      <c r="F201" s="18">
        <v>336004</v>
      </c>
      <c r="G201" s="19" t="s">
        <v>252</v>
      </c>
      <c r="H201" s="18">
        <v>6</v>
      </c>
      <c r="I201" s="18" t="s">
        <v>48</v>
      </c>
    </row>
    <row r="202" spans="1:9" ht="15.75" customHeight="1" x14ac:dyDescent="0.2">
      <c r="A202" s="18" t="s">
        <v>44</v>
      </c>
      <c r="B202" s="20" t="s">
        <v>20</v>
      </c>
      <c r="C202" s="20" t="s">
        <v>76</v>
      </c>
      <c r="D202" s="21" t="s">
        <v>77</v>
      </c>
      <c r="E202" s="104"/>
      <c r="F202" s="18">
        <v>336005</v>
      </c>
      <c r="G202" s="19" t="s">
        <v>253</v>
      </c>
      <c r="H202" s="18">
        <v>5</v>
      </c>
      <c r="I202" s="18" t="s">
        <v>48</v>
      </c>
    </row>
    <row r="203" spans="1:9" ht="15.75" customHeight="1" x14ac:dyDescent="0.2">
      <c r="A203" s="18" t="s">
        <v>44</v>
      </c>
      <c r="B203" s="20" t="s">
        <v>20</v>
      </c>
      <c r="C203" s="20" t="s">
        <v>76</v>
      </c>
      <c r="D203" s="21" t="s">
        <v>77</v>
      </c>
      <c r="E203" s="105"/>
      <c r="F203" s="18">
        <v>336006</v>
      </c>
      <c r="G203" s="19" t="s">
        <v>254</v>
      </c>
      <c r="H203" s="18">
        <v>4</v>
      </c>
      <c r="I203" s="18" t="s">
        <v>48</v>
      </c>
    </row>
    <row r="204" spans="1:9" ht="15.75" customHeight="1" x14ac:dyDescent="0.2">
      <c r="A204" s="18" t="s">
        <v>44</v>
      </c>
      <c r="B204" s="20" t="s">
        <v>20</v>
      </c>
      <c r="C204" s="20" t="s">
        <v>76</v>
      </c>
      <c r="D204" s="21" t="s">
        <v>77</v>
      </c>
      <c r="E204" s="103" t="e" vm="21">
        <v>#VALUE!</v>
      </c>
      <c r="F204" s="18">
        <v>332901</v>
      </c>
      <c r="G204" s="19" t="s">
        <v>255</v>
      </c>
      <c r="H204" s="18">
        <v>10</v>
      </c>
      <c r="I204" s="18" t="s">
        <v>48</v>
      </c>
    </row>
    <row r="205" spans="1:9" ht="15.75" customHeight="1" x14ac:dyDescent="0.2">
      <c r="A205" s="18" t="s">
        <v>44</v>
      </c>
      <c r="B205" s="20" t="s">
        <v>20</v>
      </c>
      <c r="C205" s="20" t="s">
        <v>76</v>
      </c>
      <c r="D205" s="21" t="s">
        <v>77</v>
      </c>
      <c r="E205" s="104"/>
      <c r="F205" s="18">
        <v>332902</v>
      </c>
      <c r="G205" s="19" t="s">
        <v>256</v>
      </c>
      <c r="H205" s="18">
        <v>9</v>
      </c>
      <c r="I205" s="18" t="s">
        <v>48</v>
      </c>
    </row>
    <row r="206" spans="1:9" ht="15.75" customHeight="1" x14ac:dyDescent="0.2">
      <c r="A206" s="18" t="s">
        <v>44</v>
      </c>
      <c r="B206" s="20" t="s">
        <v>20</v>
      </c>
      <c r="C206" s="20" t="s">
        <v>76</v>
      </c>
      <c r="D206" s="21" t="s">
        <v>77</v>
      </c>
      <c r="E206" s="104"/>
      <c r="F206" s="18">
        <v>332903</v>
      </c>
      <c r="G206" s="19" t="s">
        <v>257</v>
      </c>
      <c r="H206" s="18">
        <v>6</v>
      </c>
      <c r="I206" s="18" t="s">
        <v>48</v>
      </c>
    </row>
    <row r="207" spans="1:9" ht="15.75" customHeight="1" x14ac:dyDescent="0.2">
      <c r="A207" s="18" t="s">
        <v>44</v>
      </c>
      <c r="B207" s="20" t="s">
        <v>20</v>
      </c>
      <c r="C207" s="20" t="s">
        <v>76</v>
      </c>
      <c r="D207" s="21" t="s">
        <v>77</v>
      </c>
      <c r="E207" s="104"/>
      <c r="F207" s="18">
        <v>332904</v>
      </c>
      <c r="G207" s="19" t="s">
        <v>258</v>
      </c>
      <c r="H207" s="18">
        <v>4</v>
      </c>
      <c r="I207" s="18" t="s">
        <v>48</v>
      </c>
    </row>
    <row r="208" spans="1:9" ht="15.75" customHeight="1" x14ac:dyDescent="0.2">
      <c r="A208" s="18" t="s">
        <v>44</v>
      </c>
      <c r="B208" s="20" t="s">
        <v>20</v>
      </c>
      <c r="C208" s="20" t="s">
        <v>76</v>
      </c>
      <c r="D208" s="21" t="s">
        <v>77</v>
      </c>
      <c r="E208" s="104"/>
      <c r="F208" s="18">
        <v>332905</v>
      </c>
      <c r="G208" s="19" t="s">
        <v>259</v>
      </c>
      <c r="H208" s="18">
        <v>4</v>
      </c>
      <c r="I208" s="18" t="s">
        <v>48</v>
      </c>
    </row>
    <row r="209" spans="1:9" ht="15.75" customHeight="1" x14ac:dyDescent="0.2">
      <c r="A209" s="18" t="s">
        <v>44</v>
      </c>
      <c r="B209" s="20" t="s">
        <v>20</v>
      </c>
      <c r="C209" s="20" t="s">
        <v>76</v>
      </c>
      <c r="D209" s="21" t="s">
        <v>77</v>
      </c>
      <c r="E209" s="105"/>
      <c r="F209" s="18">
        <v>332906</v>
      </c>
      <c r="G209" s="19" t="s">
        <v>260</v>
      </c>
      <c r="H209" s="18">
        <v>1</v>
      </c>
      <c r="I209" s="18" t="s">
        <v>48</v>
      </c>
    </row>
    <row r="210" spans="1:9" ht="15.75" customHeight="1" x14ac:dyDescent="0.2">
      <c r="A210" s="18" t="s">
        <v>44</v>
      </c>
      <c r="B210" s="20" t="s">
        <v>20</v>
      </c>
      <c r="C210" s="20" t="s">
        <v>76</v>
      </c>
      <c r="D210" s="21" t="s">
        <v>77</v>
      </c>
      <c r="E210" s="103" t="e" vm="22">
        <v>#VALUE!</v>
      </c>
      <c r="F210" s="18">
        <v>332801</v>
      </c>
      <c r="G210" s="19" t="s">
        <v>261</v>
      </c>
      <c r="H210" s="18">
        <v>10</v>
      </c>
      <c r="I210" s="18" t="s">
        <v>48</v>
      </c>
    </row>
    <row r="211" spans="1:9" ht="15.75" customHeight="1" x14ac:dyDescent="0.2">
      <c r="A211" s="18" t="s">
        <v>44</v>
      </c>
      <c r="B211" s="20" t="s">
        <v>20</v>
      </c>
      <c r="C211" s="20" t="s">
        <v>76</v>
      </c>
      <c r="D211" s="21" t="s">
        <v>77</v>
      </c>
      <c r="E211" s="104"/>
      <c r="F211" s="18">
        <v>332802</v>
      </c>
      <c r="G211" s="19" t="s">
        <v>262</v>
      </c>
      <c r="H211" s="18">
        <v>10</v>
      </c>
      <c r="I211" s="18" t="s">
        <v>48</v>
      </c>
    </row>
    <row r="212" spans="1:9" ht="15.75" customHeight="1" x14ac:dyDescent="0.2">
      <c r="A212" s="18" t="s">
        <v>44</v>
      </c>
      <c r="B212" s="20" t="s">
        <v>20</v>
      </c>
      <c r="C212" s="20" t="s">
        <v>76</v>
      </c>
      <c r="D212" s="21" t="s">
        <v>77</v>
      </c>
      <c r="E212" s="104"/>
      <c r="F212" s="18">
        <v>332803</v>
      </c>
      <c r="G212" s="19" t="s">
        <v>263</v>
      </c>
      <c r="H212" s="18">
        <v>10</v>
      </c>
      <c r="I212" s="18" t="s">
        <v>48</v>
      </c>
    </row>
    <row r="213" spans="1:9" ht="15.75" customHeight="1" x14ac:dyDescent="0.2">
      <c r="A213" s="18" t="s">
        <v>44</v>
      </c>
      <c r="B213" s="20" t="s">
        <v>20</v>
      </c>
      <c r="C213" s="20" t="s">
        <v>76</v>
      </c>
      <c r="D213" s="21" t="s">
        <v>77</v>
      </c>
      <c r="E213" s="104"/>
      <c r="F213" s="18">
        <v>332804</v>
      </c>
      <c r="G213" s="19" t="s">
        <v>264</v>
      </c>
      <c r="H213" s="18">
        <v>10</v>
      </c>
      <c r="I213" s="18" t="s">
        <v>48</v>
      </c>
    </row>
    <row r="214" spans="1:9" ht="15.75" customHeight="1" x14ac:dyDescent="0.2">
      <c r="A214" s="18" t="s">
        <v>44</v>
      </c>
      <c r="B214" s="20" t="s">
        <v>20</v>
      </c>
      <c r="C214" s="20" t="s">
        <v>76</v>
      </c>
      <c r="D214" s="21" t="s">
        <v>77</v>
      </c>
      <c r="E214" s="104"/>
      <c r="F214" s="18">
        <v>332805</v>
      </c>
      <c r="G214" s="19" t="s">
        <v>265</v>
      </c>
      <c r="H214" s="18">
        <v>10</v>
      </c>
      <c r="I214" s="18" t="s">
        <v>48</v>
      </c>
    </row>
    <row r="215" spans="1:9" ht="15.75" customHeight="1" x14ac:dyDescent="0.2">
      <c r="A215" s="18" t="s">
        <v>44</v>
      </c>
      <c r="B215" s="20" t="s">
        <v>20</v>
      </c>
      <c r="C215" s="20" t="s">
        <v>76</v>
      </c>
      <c r="D215" s="21" t="s">
        <v>77</v>
      </c>
      <c r="E215" s="105"/>
      <c r="F215" s="18">
        <v>332806</v>
      </c>
      <c r="G215" s="19" t="s">
        <v>266</v>
      </c>
      <c r="H215" s="18">
        <v>1</v>
      </c>
      <c r="I215" s="18" t="s">
        <v>48</v>
      </c>
    </row>
    <row r="216" spans="1:9" ht="15.75" customHeight="1" x14ac:dyDescent="0.2">
      <c r="A216" s="18" t="s">
        <v>44</v>
      </c>
      <c r="B216" s="20" t="s">
        <v>20</v>
      </c>
      <c r="C216" s="20" t="s">
        <v>76</v>
      </c>
      <c r="D216" s="21" t="s">
        <v>77</v>
      </c>
      <c r="E216" s="103" t="e" vm="23">
        <v>#VALUE!</v>
      </c>
      <c r="F216" s="18">
        <v>332602</v>
      </c>
      <c r="G216" s="19" t="s">
        <v>267</v>
      </c>
      <c r="H216" s="18">
        <v>30</v>
      </c>
      <c r="I216" s="18" t="s">
        <v>48</v>
      </c>
    </row>
    <row r="217" spans="1:9" ht="15.75" customHeight="1" x14ac:dyDescent="0.2">
      <c r="A217" s="18" t="s">
        <v>44</v>
      </c>
      <c r="B217" s="20" t="s">
        <v>20</v>
      </c>
      <c r="C217" s="20" t="s">
        <v>76</v>
      </c>
      <c r="D217" s="21" t="s">
        <v>77</v>
      </c>
      <c r="E217" s="104"/>
      <c r="F217" s="18">
        <v>332615</v>
      </c>
      <c r="G217" s="19" t="s">
        <v>268</v>
      </c>
      <c r="H217" s="18">
        <v>20</v>
      </c>
      <c r="I217" s="18" t="s">
        <v>48</v>
      </c>
    </row>
    <row r="218" spans="1:9" ht="15.75" customHeight="1" x14ac:dyDescent="0.2">
      <c r="A218" s="18" t="s">
        <v>44</v>
      </c>
      <c r="B218" s="20" t="s">
        <v>20</v>
      </c>
      <c r="C218" s="20" t="s">
        <v>76</v>
      </c>
      <c r="D218" s="21" t="s">
        <v>77</v>
      </c>
      <c r="E218" s="104"/>
      <c r="F218" s="18">
        <v>332603</v>
      </c>
      <c r="G218" s="19" t="s">
        <v>269</v>
      </c>
      <c r="H218" s="18">
        <v>25</v>
      </c>
      <c r="I218" s="18" t="s">
        <v>48</v>
      </c>
    </row>
    <row r="219" spans="1:9" ht="15.75" customHeight="1" x14ac:dyDescent="0.2">
      <c r="A219" s="18" t="s">
        <v>44</v>
      </c>
      <c r="B219" s="20" t="s">
        <v>20</v>
      </c>
      <c r="C219" s="20" t="s">
        <v>76</v>
      </c>
      <c r="D219" s="21" t="s">
        <v>77</v>
      </c>
      <c r="E219" s="104"/>
      <c r="F219" s="18">
        <v>332604</v>
      </c>
      <c r="G219" s="19" t="s">
        <v>270</v>
      </c>
      <c r="H219" s="18">
        <v>20</v>
      </c>
      <c r="I219" s="18" t="s">
        <v>48</v>
      </c>
    </row>
    <row r="220" spans="1:9" ht="15.75" customHeight="1" x14ac:dyDescent="0.2">
      <c r="A220" s="18" t="s">
        <v>44</v>
      </c>
      <c r="B220" s="20" t="s">
        <v>20</v>
      </c>
      <c r="C220" s="20" t="s">
        <v>76</v>
      </c>
      <c r="D220" s="21" t="s">
        <v>77</v>
      </c>
      <c r="E220" s="104"/>
      <c r="F220" s="18">
        <v>332606</v>
      </c>
      <c r="G220" s="19" t="s">
        <v>271</v>
      </c>
      <c r="H220" s="18">
        <v>10</v>
      </c>
      <c r="I220" s="18" t="s">
        <v>48</v>
      </c>
    </row>
    <row r="221" spans="1:9" ht="15.75" customHeight="1" x14ac:dyDescent="0.2">
      <c r="A221" s="18" t="s">
        <v>44</v>
      </c>
      <c r="B221" s="20" t="s">
        <v>20</v>
      </c>
      <c r="C221" s="20" t="s">
        <v>76</v>
      </c>
      <c r="D221" s="21" t="s">
        <v>77</v>
      </c>
      <c r="E221" s="104"/>
      <c r="F221" s="18">
        <v>332607</v>
      </c>
      <c r="G221" s="19" t="s">
        <v>272</v>
      </c>
      <c r="H221" s="18">
        <v>10</v>
      </c>
      <c r="I221" s="18" t="s">
        <v>48</v>
      </c>
    </row>
    <row r="222" spans="1:9" ht="15.75" customHeight="1" x14ac:dyDescent="0.2">
      <c r="A222" s="18" t="s">
        <v>44</v>
      </c>
      <c r="B222" s="20" t="s">
        <v>20</v>
      </c>
      <c r="C222" s="20" t="s">
        <v>76</v>
      </c>
      <c r="D222" s="21" t="s">
        <v>77</v>
      </c>
      <c r="E222" s="104"/>
      <c r="F222" s="18">
        <v>332605</v>
      </c>
      <c r="G222" s="19" t="s">
        <v>273</v>
      </c>
      <c r="H222" s="18">
        <v>6</v>
      </c>
      <c r="I222" s="18" t="s">
        <v>48</v>
      </c>
    </row>
    <row r="223" spans="1:9" ht="15.75" customHeight="1" x14ac:dyDescent="0.2">
      <c r="A223" s="18" t="s">
        <v>44</v>
      </c>
      <c r="B223" s="20" t="s">
        <v>20</v>
      </c>
      <c r="C223" s="20" t="s">
        <v>76</v>
      </c>
      <c r="D223" s="21" t="s">
        <v>77</v>
      </c>
      <c r="E223" s="104"/>
      <c r="F223" s="18">
        <v>332608</v>
      </c>
      <c r="G223" s="19" t="s">
        <v>274</v>
      </c>
      <c r="H223" s="18">
        <v>5</v>
      </c>
      <c r="I223" s="18" t="s">
        <v>48</v>
      </c>
    </row>
    <row r="224" spans="1:9" ht="15.75" customHeight="1" x14ac:dyDescent="0.2">
      <c r="A224" s="18" t="s">
        <v>44</v>
      </c>
      <c r="B224" s="20" t="s">
        <v>20</v>
      </c>
      <c r="C224" s="20" t="s">
        <v>76</v>
      </c>
      <c r="D224" s="21" t="s">
        <v>77</v>
      </c>
      <c r="E224" s="104"/>
      <c r="F224" s="18">
        <v>332609</v>
      </c>
      <c r="G224" s="19" t="s">
        <v>275</v>
      </c>
      <c r="H224" s="18">
        <v>5</v>
      </c>
      <c r="I224" s="18" t="s">
        <v>48</v>
      </c>
    </row>
    <row r="225" spans="1:9" ht="15.75" customHeight="1" x14ac:dyDescent="0.2">
      <c r="A225" s="18" t="s">
        <v>44</v>
      </c>
      <c r="B225" s="20" t="s">
        <v>20</v>
      </c>
      <c r="C225" s="20" t="s">
        <v>76</v>
      </c>
      <c r="D225" s="21" t="s">
        <v>77</v>
      </c>
      <c r="E225" s="104"/>
      <c r="F225" s="18">
        <v>332610</v>
      </c>
      <c r="G225" s="19" t="s">
        <v>276</v>
      </c>
      <c r="H225" s="18">
        <v>1</v>
      </c>
      <c r="I225" s="18" t="s">
        <v>48</v>
      </c>
    </row>
    <row r="226" spans="1:9" ht="15.75" customHeight="1" x14ac:dyDescent="0.2">
      <c r="A226" s="18" t="s">
        <v>44</v>
      </c>
      <c r="B226" s="20" t="s">
        <v>20</v>
      </c>
      <c r="C226" s="20" t="s">
        <v>76</v>
      </c>
      <c r="D226" s="21" t="s">
        <v>77</v>
      </c>
      <c r="E226" s="104"/>
      <c r="F226" s="18">
        <v>332611</v>
      </c>
      <c r="G226" s="19" t="s">
        <v>277</v>
      </c>
      <c r="H226" s="18">
        <v>1</v>
      </c>
      <c r="I226" s="18" t="s">
        <v>48</v>
      </c>
    </row>
    <row r="227" spans="1:9" ht="15.75" customHeight="1" x14ac:dyDescent="0.2">
      <c r="A227" s="18" t="s">
        <v>44</v>
      </c>
      <c r="B227" s="20" t="s">
        <v>20</v>
      </c>
      <c r="C227" s="20" t="s">
        <v>76</v>
      </c>
      <c r="D227" s="21" t="s">
        <v>77</v>
      </c>
      <c r="E227" s="104"/>
      <c r="F227" s="18">
        <v>332612</v>
      </c>
      <c r="G227" s="19" t="s">
        <v>278</v>
      </c>
      <c r="H227" s="18">
        <v>1</v>
      </c>
      <c r="I227" s="18" t="s">
        <v>48</v>
      </c>
    </row>
    <row r="228" spans="1:9" ht="15.75" customHeight="1" x14ac:dyDescent="0.2">
      <c r="A228" s="18" t="s">
        <v>44</v>
      </c>
      <c r="B228" s="20" t="s">
        <v>20</v>
      </c>
      <c r="C228" s="20" t="s">
        <v>76</v>
      </c>
      <c r="D228" s="21" t="s">
        <v>77</v>
      </c>
      <c r="E228" s="104"/>
      <c r="F228" s="18">
        <v>332613</v>
      </c>
      <c r="G228" s="19" t="s">
        <v>279</v>
      </c>
      <c r="H228" s="18">
        <v>1</v>
      </c>
      <c r="I228" s="18" t="s">
        <v>168</v>
      </c>
    </row>
    <row r="229" spans="1:9" ht="15.75" customHeight="1" x14ac:dyDescent="0.2">
      <c r="A229" s="18" t="s">
        <v>44</v>
      </c>
      <c r="B229" s="20" t="s">
        <v>20</v>
      </c>
      <c r="C229" s="20" t="s">
        <v>170</v>
      </c>
      <c r="D229" s="21" t="s">
        <v>77</v>
      </c>
      <c r="E229" s="105"/>
      <c r="F229" s="18">
        <v>32614</v>
      </c>
      <c r="G229" s="19" t="s">
        <v>280</v>
      </c>
      <c r="H229" s="18">
        <v>1</v>
      </c>
      <c r="I229" s="18" t="s">
        <v>168</v>
      </c>
    </row>
    <row r="230" spans="1:9" ht="15.75" customHeight="1" x14ac:dyDescent="0.2">
      <c r="A230" s="18" t="s">
        <v>44</v>
      </c>
      <c r="B230" s="20" t="s">
        <v>20</v>
      </c>
      <c r="C230" s="20" t="s">
        <v>76</v>
      </c>
      <c r="D230" s="21" t="s">
        <v>77</v>
      </c>
      <c r="E230" s="103" t="e" vm="24">
        <v>#VALUE!</v>
      </c>
      <c r="F230" s="18">
        <v>332502</v>
      </c>
      <c r="G230" s="19" t="s">
        <v>281</v>
      </c>
      <c r="H230" s="18">
        <v>20</v>
      </c>
      <c r="I230" s="18" t="s">
        <v>48</v>
      </c>
    </row>
    <row r="231" spans="1:9" ht="15.75" customHeight="1" x14ac:dyDescent="0.2">
      <c r="A231" s="18" t="s">
        <v>44</v>
      </c>
      <c r="B231" s="20" t="s">
        <v>20</v>
      </c>
      <c r="C231" s="20" t="s">
        <v>76</v>
      </c>
      <c r="D231" s="21" t="s">
        <v>77</v>
      </c>
      <c r="E231" s="104"/>
      <c r="F231" s="18">
        <v>332516</v>
      </c>
      <c r="G231" s="19" t="s">
        <v>282</v>
      </c>
      <c r="H231" s="18">
        <v>20</v>
      </c>
      <c r="I231" s="18" t="s">
        <v>48</v>
      </c>
    </row>
    <row r="232" spans="1:9" ht="15.75" customHeight="1" x14ac:dyDescent="0.2">
      <c r="A232" s="18" t="s">
        <v>44</v>
      </c>
      <c r="B232" s="20" t="s">
        <v>20</v>
      </c>
      <c r="C232" s="20" t="s">
        <v>76</v>
      </c>
      <c r="D232" s="21" t="s">
        <v>77</v>
      </c>
      <c r="E232" s="104"/>
      <c r="F232" s="18">
        <v>332503</v>
      </c>
      <c r="G232" s="19" t="s">
        <v>283</v>
      </c>
      <c r="H232" s="18">
        <v>20</v>
      </c>
      <c r="I232" s="18" t="s">
        <v>48</v>
      </c>
    </row>
    <row r="233" spans="1:9" ht="15.75" customHeight="1" x14ac:dyDescent="0.2">
      <c r="A233" s="18" t="s">
        <v>44</v>
      </c>
      <c r="B233" s="20" t="s">
        <v>20</v>
      </c>
      <c r="C233" s="20" t="s">
        <v>76</v>
      </c>
      <c r="D233" s="21" t="s">
        <v>77</v>
      </c>
      <c r="E233" s="104"/>
      <c r="F233" s="18">
        <v>332504</v>
      </c>
      <c r="G233" s="19" t="s">
        <v>284</v>
      </c>
      <c r="H233" s="18">
        <v>20</v>
      </c>
      <c r="I233" s="18" t="s">
        <v>48</v>
      </c>
    </row>
    <row r="234" spans="1:9" ht="15.75" customHeight="1" x14ac:dyDescent="0.2">
      <c r="A234" s="18" t="s">
        <v>44</v>
      </c>
      <c r="B234" s="20" t="s">
        <v>20</v>
      </c>
      <c r="C234" s="20" t="s">
        <v>76</v>
      </c>
      <c r="D234" s="21" t="s">
        <v>77</v>
      </c>
      <c r="E234" s="104"/>
      <c r="F234" s="18">
        <v>332506</v>
      </c>
      <c r="G234" s="19" t="s">
        <v>285</v>
      </c>
      <c r="H234" s="18">
        <v>10</v>
      </c>
      <c r="I234" s="18" t="s">
        <v>48</v>
      </c>
    </row>
    <row r="235" spans="1:9" ht="15.75" customHeight="1" x14ac:dyDescent="0.2">
      <c r="A235" s="18" t="s">
        <v>44</v>
      </c>
      <c r="B235" s="20" t="s">
        <v>20</v>
      </c>
      <c r="C235" s="20" t="s">
        <v>76</v>
      </c>
      <c r="D235" s="21" t="s">
        <v>77</v>
      </c>
      <c r="E235" s="104"/>
      <c r="F235" s="18">
        <v>332507</v>
      </c>
      <c r="G235" s="19" t="s">
        <v>286</v>
      </c>
      <c r="H235" s="18">
        <v>10</v>
      </c>
      <c r="I235" s="18" t="s">
        <v>48</v>
      </c>
    </row>
    <row r="236" spans="1:9" ht="15.75" customHeight="1" x14ac:dyDescent="0.2">
      <c r="A236" s="18" t="s">
        <v>44</v>
      </c>
      <c r="B236" s="20" t="s">
        <v>20</v>
      </c>
      <c r="C236" s="20" t="s">
        <v>76</v>
      </c>
      <c r="D236" s="21" t="s">
        <v>77</v>
      </c>
      <c r="E236" s="104"/>
      <c r="F236" s="18">
        <v>332505</v>
      </c>
      <c r="G236" s="19" t="s">
        <v>287</v>
      </c>
      <c r="H236" s="18">
        <v>10</v>
      </c>
      <c r="I236" s="18" t="s">
        <v>48</v>
      </c>
    </row>
    <row r="237" spans="1:9" ht="15.75" customHeight="1" x14ac:dyDescent="0.2">
      <c r="A237" s="18" t="s">
        <v>44</v>
      </c>
      <c r="B237" s="20" t="s">
        <v>20</v>
      </c>
      <c r="C237" s="20" t="s">
        <v>170</v>
      </c>
      <c r="D237" s="21" t="s">
        <v>77</v>
      </c>
      <c r="E237" s="104"/>
      <c r="F237" s="18">
        <v>32509</v>
      </c>
      <c r="G237" s="19" t="s">
        <v>288</v>
      </c>
      <c r="H237" s="18">
        <v>5</v>
      </c>
      <c r="I237" s="18" t="s">
        <v>48</v>
      </c>
    </row>
    <row r="238" spans="1:9" ht="15.75" customHeight="1" x14ac:dyDescent="0.2">
      <c r="A238" s="18" t="s">
        <v>44</v>
      </c>
      <c r="B238" s="20" t="s">
        <v>20</v>
      </c>
      <c r="C238" s="20" t="s">
        <v>170</v>
      </c>
      <c r="D238" s="21" t="s">
        <v>77</v>
      </c>
      <c r="E238" s="104"/>
      <c r="F238" s="18">
        <v>32508</v>
      </c>
      <c r="G238" s="19" t="s">
        <v>289</v>
      </c>
      <c r="H238" s="18">
        <v>5</v>
      </c>
      <c r="I238" s="18" t="s">
        <v>48</v>
      </c>
    </row>
    <row r="239" spans="1:9" ht="15.75" customHeight="1" x14ac:dyDescent="0.2">
      <c r="A239" s="18" t="s">
        <v>44</v>
      </c>
      <c r="B239" s="20" t="s">
        <v>20</v>
      </c>
      <c r="C239" s="20" t="s">
        <v>76</v>
      </c>
      <c r="D239" s="21" t="s">
        <v>77</v>
      </c>
      <c r="E239" s="104"/>
      <c r="F239" s="18">
        <v>332510</v>
      </c>
      <c r="G239" s="19" t="s">
        <v>290</v>
      </c>
      <c r="H239" s="18">
        <v>5</v>
      </c>
      <c r="I239" s="18" t="s">
        <v>48</v>
      </c>
    </row>
    <row r="240" spans="1:9" ht="15.75" customHeight="1" x14ac:dyDescent="0.2">
      <c r="A240" s="18" t="s">
        <v>44</v>
      </c>
      <c r="B240" s="20" t="s">
        <v>20</v>
      </c>
      <c r="C240" s="20" t="s">
        <v>76</v>
      </c>
      <c r="D240" s="21" t="s">
        <v>77</v>
      </c>
      <c r="E240" s="104"/>
      <c r="F240" s="18">
        <v>332511</v>
      </c>
      <c r="G240" s="19" t="s">
        <v>291</v>
      </c>
      <c r="H240" s="18">
        <v>4</v>
      </c>
      <c r="I240" s="18" t="s">
        <v>48</v>
      </c>
    </row>
    <row r="241" spans="1:9" ht="15.75" customHeight="1" x14ac:dyDescent="0.2">
      <c r="A241" s="18" t="s">
        <v>44</v>
      </c>
      <c r="B241" s="20" t="s">
        <v>20</v>
      </c>
      <c r="C241" s="20" t="s">
        <v>76</v>
      </c>
      <c r="D241" s="21" t="s">
        <v>77</v>
      </c>
      <c r="E241" s="104"/>
      <c r="F241" s="18">
        <v>332512</v>
      </c>
      <c r="G241" s="19" t="s">
        <v>292</v>
      </c>
      <c r="H241" s="18">
        <v>1</v>
      </c>
      <c r="I241" s="18" t="s">
        <v>168</v>
      </c>
    </row>
    <row r="242" spans="1:9" ht="15.75" customHeight="1" x14ac:dyDescent="0.2">
      <c r="A242" s="18" t="s">
        <v>44</v>
      </c>
      <c r="B242" s="20" t="s">
        <v>20</v>
      </c>
      <c r="C242" s="20" t="s">
        <v>76</v>
      </c>
      <c r="D242" s="21" t="s">
        <v>77</v>
      </c>
      <c r="E242" s="104"/>
      <c r="F242" s="18">
        <v>332513</v>
      </c>
      <c r="G242" s="19" t="s">
        <v>293</v>
      </c>
      <c r="H242" s="18">
        <v>1</v>
      </c>
      <c r="I242" s="18" t="s">
        <v>168</v>
      </c>
    </row>
    <row r="243" spans="1:9" ht="15.75" customHeight="1" x14ac:dyDescent="0.2">
      <c r="A243" s="18" t="s">
        <v>44</v>
      </c>
      <c r="B243" s="20" t="s">
        <v>20</v>
      </c>
      <c r="C243" s="20" t="s">
        <v>76</v>
      </c>
      <c r="D243" s="21" t="s">
        <v>77</v>
      </c>
      <c r="E243" s="104"/>
      <c r="F243" s="18">
        <v>332514</v>
      </c>
      <c r="G243" s="19" t="s">
        <v>294</v>
      </c>
      <c r="H243" s="18">
        <v>1</v>
      </c>
      <c r="I243" s="18" t="s">
        <v>168</v>
      </c>
    </row>
    <row r="244" spans="1:9" ht="15.75" customHeight="1" x14ac:dyDescent="0.2">
      <c r="A244" s="18" t="s">
        <v>44</v>
      </c>
      <c r="B244" s="20" t="s">
        <v>20</v>
      </c>
      <c r="C244" s="20" t="s">
        <v>170</v>
      </c>
      <c r="D244" s="21" t="s">
        <v>77</v>
      </c>
      <c r="E244" s="105"/>
      <c r="F244" s="18">
        <v>32515</v>
      </c>
      <c r="G244" s="19" t="s">
        <v>295</v>
      </c>
      <c r="H244" s="18">
        <v>1</v>
      </c>
      <c r="I244" s="18" t="s">
        <v>168</v>
      </c>
    </row>
    <row r="245" spans="1:9" ht="15.75" customHeight="1" x14ac:dyDescent="0.2">
      <c r="A245" s="18" t="s">
        <v>44</v>
      </c>
      <c r="B245" s="20" t="s">
        <v>20</v>
      </c>
      <c r="C245" s="20" t="s">
        <v>76</v>
      </c>
      <c r="D245" s="21" t="s">
        <v>77</v>
      </c>
      <c r="E245" s="103" t="e" vm="25">
        <v>#VALUE!</v>
      </c>
      <c r="F245" s="18">
        <v>331502</v>
      </c>
      <c r="G245" s="19" t="s">
        <v>296</v>
      </c>
      <c r="H245" s="18">
        <v>50</v>
      </c>
      <c r="I245" s="18" t="s">
        <v>48</v>
      </c>
    </row>
    <row r="246" spans="1:9" ht="15.75" customHeight="1" x14ac:dyDescent="0.2">
      <c r="A246" s="18" t="s">
        <v>44</v>
      </c>
      <c r="B246" s="20" t="s">
        <v>20</v>
      </c>
      <c r="C246" s="20" t="s">
        <v>76</v>
      </c>
      <c r="D246" s="21" t="s">
        <v>77</v>
      </c>
      <c r="E246" s="104"/>
      <c r="F246" s="18">
        <v>331503</v>
      </c>
      <c r="G246" s="19" t="s">
        <v>297</v>
      </c>
      <c r="H246" s="18">
        <v>50</v>
      </c>
      <c r="I246" s="18" t="s">
        <v>48</v>
      </c>
    </row>
    <row r="247" spans="1:9" ht="15.75" customHeight="1" x14ac:dyDescent="0.2">
      <c r="A247" s="18" t="s">
        <v>44</v>
      </c>
      <c r="B247" s="20" t="s">
        <v>20</v>
      </c>
      <c r="C247" s="20" t="s">
        <v>76</v>
      </c>
      <c r="D247" s="21" t="s">
        <v>77</v>
      </c>
      <c r="E247" s="104"/>
      <c r="F247" s="18">
        <v>331504</v>
      </c>
      <c r="G247" s="19" t="s">
        <v>298</v>
      </c>
      <c r="H247" s="18">
        <v>35</v>
      </c>
      <c r="I247" s="18" t="s">
        <v>48</v>
      </c>
    </row>
    <row r="248" spans="1:9" ht="15.75" customHeight="1" x14ac:dyDescent="0.2">
      <c r="A248" s="18" t="s">
        <v>44</v>
      </c>
      <c r="B248" s="20" t="s">
        <v>20</v>
      </c>
      <c r="C248" s="20" t="s">
        <v>76</v>
      </c>
      <c r="D248" s="21" t="s">
        <v>77</v>
      </c>
      <c r="E248" s="104"/>
      <c r="F248" s="18">
        <v>331505</v>
      </c>
      <c r="G248" s="19" t="s">
        <v>299</v>
      </c>
      <c r="H248" s="18">
        <v>10</v>
      </c>
      <c r="I248" s="18" t="s">
        <v>48</v>
      </c>
    </row>
    <row r="249" spans="1:9" ht="15.75" customHeight="1" x14ac:dyDescent="0.2">
      <c r="A249" s="18" t="s">
        <v>44</v>
      </c>
      <c r="B249" s="20" t="s">
        <v>20</v>
      </c>
      <c r="C249" s="20" t="s">
        <v>76</v>
      </c>
      <c r="D249" s="21" t="s">
        <v>77</v>
      </c>
      <c r="E249" s="104"/>
      <c r="F249" s="18">
        <v>331506</v>
      </c>
      <c r="G249" s="19" t="s">
        <v>300</v>
      </c>
      <c r="H249" s="18">
        <v>12</v>
      </c>
      <c r="I249" s="18" t="s">
        <v>48</v>
      </c>
    </row>
    <row r="250" spans="1:9" ht="15.75" customHeight="1" x14ac:dyDescent="0.2">
      <c r="A250" s="18" t="s">
        <v>44</v>
      </c>
      <c r="B250" s="20" t="s">
        <v>20</v>
      </c>
      <c r="C250" s="20" t="s">
        <v>76</v>
      </c>
      <c r="D250" s="21" t="s">
        <v>77</v>
      </c>
      <c r="E250" s="104"/>
      <c r="F250" s="18">
        <v>331507</v>
      </c>
      <c r="G250" s="19" t="s">
        <v>301</v>
      </c>
      <c r="H250" s="18">
        <v>10</v>
      </c>
      <c r="I250" s="18" t="s">
        <v>48</v>
      </c>
    </row>
    <row r="251" spans="1:9" ht="15.75" customHeight="1" x14ac:dyDescent="0.2">
      <c r="A251" s="18" t="s">
        <v>44</v>
      </c>
      <c r="B251" s="20" t="s">
        <v>20</v>
      </c>
      <c r="C251" s="20" t="s">
        <v>76</v>
      </c>
      <c r="D251" s="21" t="s">
        <v>77</v>
      </c>
      <c r="E251" s="104"/>
      <c r="F251" s="18">
        <v>331508</v>
      </c>
      <c r="G251" s="19" t="s">
        <v>302</v>
      </c>
      <c r="H251" s="18">
        <v>6</v>
      </c>
      <c r="I251" s="18" t="s">
        <v>48</v>
      </c>
    </row>
    <row r="252" spans="1:9" ht="15.75" customHeight="1" x14ac:dyDescent="0.2">
      <c r="A252" s="18" t="s">
        <v>44</v>
      </c>
      <c r="B252" s="20" t="s">
        <v>20</v>
      </c>
      <c r="C252" s="20" t="s">
        <v>76</v>
      </c>
      <c r="D252" s="21" t="s">
        <v>77</v>
      </c>
      <c r="E252" s="104"/>
      <c r="F252" s="18">
        <v>331509</v>
      </c>
      <c r="G252" s="19" t="s">
        <v>303</v>
      </c>
      <c r="H252" s="18">
        <v>1</v>
      </c>
      <c r="I252" s="18" t="s">
        <v>48</v>
      </c>
    </row>
    <row r="253" spans="1:9" ht="15.75" customHeight="1" x14ac:dyDescent="0.2">
      <c r="A253" s="18" t="s">
        <v>44</v>
      </c>
      <c r="B253" s="20" t="s">
        <v>20</v>
      </c>
      <c r="C253" s="20" t="s">
        <v>76</v>
      </c>
      <c r="D253" s="21" t="s">
        <v>77</v>
      </c>
      <c r="E253" s="105"/>
      <c r="F253" s="18">
        <v>331510</v>
      </c>
      <c r="G253" s="19" t="s">
        <v>304</v>
      </c>
      <c r="H253" s="18">
        <v>1</v>
      </c>
      <c r="I253" s="18" t="s">
        <v>168</v>
      </c>
    </row>
    <row r="254" spans="1:9" ht="24.75" customHeight="1" x14ac:dyDescent="0.2">
      <c r="A254" s="18" t="s">
        <v>44</v>
      </c>
      <c r="B254" s="20" t="s">
        <v>20</v>
      </c>
      <c r="C254" s="20" t="s">
        <v>170</v>
      </c>
      <c r="D254" s="21" t="s">
        <v>77</v>
      </c>
      <c r="E254" s="103" t="e" vm="26">
        <v>#VALUE!</v>
      </c>
      <c r="F254" s="18">
        <v>33801</v>
      </c>
      <c r="G254" s="19" t="s">
        <v>305</v>
      </c>
      <c r="H254" s="18">
        <v>50</v>
      </c>
      <c r="I254" s="18" t="s">
        <v>48</v>
      </c>
    </row>
    <row r="255" spans="1:9" ht="24.75" customHeight="1" x14ac:dyDescent="0.2">
      <c r="A255" s="18" t="s">
        <v>44</v>
      </c>
      <c r="B255" s="20" t="s">
        <v>20</v>
      </c>
      <c r="C255" s="20" t="s">
        <v>170</v>
      </c>
      <c r="D255" s="21" t="s">
        <v>77</v>
      </c>
      <c r="E255" s="105"/>
      <c r="F255" s="18">
        <v>33802</v>
      </c>
      <c r="G255" s="19" t="s">
        <v>306</v>
      </c>
      <c r="H255" s="18">
        <v>50</v>
      </c>
      <c r="I255" s="18" t="s">
        <v>48</v>
      </c>
    </row>
    <row r="256" spans="1:9" ht="24.75" customHeight="1" x14ac:dyDescent="0.2">
      <c r="A256" s="18" t="s">
        <v>44</v>
      </c>
      <c r="B256" s="20" t="s">
        <v>20</v>
      </c>
      <c r="C256" s="20" t="s">
        <v>76</v>
      </c>
      <c r="D256" s="21" t="s">
        <v>77</v>
      </c>
      <c r="E256" s="103" t="e" vm="27">
        <v>#VALUE!</v>
      </c>
      <c r="F256" s="18">
        <v>333803</v>
      </c>
      <c r="G256" s="19" t="s">
        <v>307</v>
      </c>
      <c r="H256" s="18">
        <v>50</v>
      </c>
      <c r="I256" s="18" t="s">
        <v>48</v>
      </c>
    </row>
    <row r="257" spans="1:9" ht="24.75" customHeight="1" x14ac:dyDescent="0.2">
      <c r="A257" s="18" t="s">
        <v>44</v>
      </c>
      <c r="B257" s="20" t="s">
        <v>20</v>
      </c>
      <c r="C257" s="20" t="s">
        <v>76</v>
      </c>
      <c r="D257" s="21" t="s">
        <v>77</v>
      </c>
      <c r="E257" s="105"/>
      <c r="F257" s="18">
        <v>333804</v>
      </c>
      <c r="G257" s="19" t="s">
        <v>308</v>
      </c>
      <c r="H257" s="18">
        <v>50</v>
      </c>
      <c r="I257" s="18" t="s">
        <v>48</v>
      </c>
    </row>
    <row r="258" spans="1:9" ht="15.75" customHeight="1" x14ac:dyDescent="0.2">
      <c r="A258" s="18" t="s">
        <v>44</v>
      </c>
      <c r="B258" s="20" t="s">
        <v>20</v>
      </c>
      <c r="C258" s="20" t="s">
        <v>76</v>
      </c>
      <c r="D258" s="21" t="s">
        <v>77</v>
      </c>
      <c r="E258" s="103" t="e" vm="28">
        <v>#VALUE!</v>
      </c>
      <c r="F258" s="18">
        <v>333501</v>
      </c>
      <c r="G258" s="19" t="s">
        <v>309</v>
      </c>
      <c r="H258" s="18">
        <v>100</v>
      </c>
      <c r="I258" s="18" t="s">
        <v>48</v>
      </c>
    </row>
    <row r="259" spans="1:9" ht="15.75" customHeight="1" x14ac:dyDescent="0.2">
      <c r="A259" s="18" t="s">
        <v>44</v>
      </c>
      <c r="B259" s="20" t="s">
        <v>20</v>
      </c>
      <c r="C259" s="20" t="s">
        <v>76</v>
      </c>
      <c r="D259" s="21" t="s">
        <v>77</v>
      </c>
      <c r="E259" s="104"/>
      <c r="F259" s="18">
        <v>333502</v>
      </c>
      <c r="G259" s="19" t="s">
        <v>310</v>
      </c>
      <c r="H259" s="18">
        <v>100</v>
      </c>
      <c r="I259" s="18" t="s">
        <v>48</v>
      </c>
    </row>
    <row r="260" spans="1:9" ht="15.75" customHeight="1" x14ac:dyDescent="0.2">
      <c r="A260" s="18" t="s">
        <v>44</v>
      </c>
      <c r="B260" s="20" t="s">
        <v>20</v>
      </c>
      <c r="C260" s="20" t="s">
        <v>76</v>
      </c>
      <c r="D260" s="21" t="s">
        <v>77</v>
      </c>
      <c r="E260" s="104"/>
      <c r="F260" s="18">
        <v>333503</v>
      </c>
      <c r="G260" s="19" t="s">
        <v>311</v>
      </c>
      <c r="H260" s="18">
        <v>50</v>
      </c>
      <c r="I260" s="18" t="s">
        <v>48</v>
      </c>
    </row>
    <row r="261" spans="1:9" ht="15.75" customHeight="1" x14ac:dyDescent="0.2">
      <c r="A261" s="18" t="s">
        <v>44</v>
      </c>
      <c r="B261" s="20" t="s">
        <v>20</v>
      </c>
      <c r="C261" s="20" t="s">
        <v>76</v>
      </c>
      <c r="D261" s="21" t="s">
        <v>77</v>
      </c>
      <c r="E261" s="104"/>
      <c r="F261" s="18">
        <v>333504</v>
      </c>
      <c r="G261" s="19" t="s">
        <v>312</v>
      </c>
      <c r="H261" s="18">
        <v>20</v>
      </c>
      <c r="I261" s="18" t="s">
        <v>48</v>
      </c>
    </row>
    <row r="262" spans="1:9" ht="15.75" customHeight="1" x14ac:dyDescent="0.2">
      <c r="A262" s="18" t="s">
        <v>44</v>
      </c>
      <c r="B262" s="20" t="s">
        <v>20</v>
      </c>
      <c r="C262" s="20" t="s">
        <v>76</v>
      </c>
      <c r="D262" s="21" t="s">
        <v>77</v>
      </c>
      <c r="E262" s="104"/>
      <c r="F262" s="18">
        <v>333505</v>
      </c>
      <c r="G262" s="19" t="s">
        <v>313</v>
      </c>
      <c r="H262" s="18">
        <v>20</v>
      </c>
      <c r="I262" s="18" t="s">
        <v>48</v>
      </c>
    </row>
    <row r="263" spans="1:9" ht="15.75" customHeight="1" x14ac:dyDescent="0.2">
      <c r="A263" s="18" t="s">
        <v>44</v>
      </c>
      <c r="B263" s="20" t="s">
        <v>20</v>
      </c>
      <c r="C263" s="20" t="s">
        <v>76</v>
      </c>
      <c r="D263" s="21" t="s">
        <v>77</v>
      </c>
      <c r="E263" s="105"/>
      <c r="F263" s="18">
        <v>333506</v>
      </c>
      <c r="G263" s="19" t="s">
        <v>314</v>
      </c>
      <c r="H263" s="18">
        <v>20</v>
      </c>
      <c r="I263" s="18" t="s">
        <v>48</v>
      </c>
    </row>
    <row r="264" spans="1:9" ht="15.75" customHeight="1" x14ac:dyDescent="0.2">
      <c r="A264" s="18" t="s">
        <v>44</v>
      </c>
      <c r="B264" s="20" t="s">
        <v>20</v>
      </c>
      <c r="C264" s="20" t="s">
        <v>76</v>
      </c>
      <c r="D264" s="21" t="s">
        <v>77</v>
      </c>
      <c r="E264" s="103" t="e" vm="29">
        <v>#VALUE!</v>
      </c>
      <c r="F264" s="18">
        <v>333901</v>
      </c>
      <c r="G264" s="19" t="s">
        <v>315</v>
      </c>
      <c r="H264" s="18">
        <v>10</v>
      </c>
      <c r="I264" s="18" t="s">
        <v>48</v>
      </c>
    </row>
    <row r="265" spans="1:9" ht="15.75" customHeight="1" x14ac:dyDescent="0.2">
      <c r="A265" s="18" t="s">
        <v>44</v>
      </c>
      <c r="B265" s="20" t="s">
        <v>20</v>
      </c>
      <c r="C265" s="20" t="s">
        <v>76</v>
      </c>
      <c r="D265" s="21" t="s">
        <v>77</v>
      </c>
      <c r="E265" s="104"/>
      <c r="F265" s="18">
        <v>333902</v>
      </c>
      <c r="G265" s="19" t="s">
        <v>316</v>
      </c>
      <c r="H265" s="18">
        <v>10</v>
      </c>
      <c r="I265" s="18" t="s">
        <v>48</v>
      </c>
    </row>
    <row r="266" spans="1:9" ht="15.75" customHeight="1" x14ac:dyDescent="0.2">
      <c r="A266" s="18" t="s">
        <v>44</v>
      </c>
      <c r="B266" s="20" t="s">
        <v>20</v>
      </c>
      <c r="C266" s="20" t="s">
        <v>76</v>
      </c>
      <c r="D266" s="21" t="s">
        <v>77</v>
      </c>
      <c r="E266" s="105"/>
      <c r="F266" s="18">
        <v>333903</v>
      </c>
      <c r="G266" s="19" t="s">
        <v>317</v>
      </c>
      <c r="H266" s="18">
        <v>5</v>
      </c>
      <c r="I266" s="18" t="s">
        <v>48</v>
      </c>
    </row>
    <row r="267" spans="1:9" ht="19.5" customHeight="1" x14ac:dyDescent="0.2">
      <c r="A267" s="18" t="s">
        <v>44</v>
      </c>
      <c r="B267" s="20" t="s">
        <v>20</v>
      </c>
      <c r="C267" s="20" t="s">
        <v>318</v>
      </c>
      <c r="D267" s="21" t="s">
        <v>319</v>
      </c>
      <c r="E267" s="103" t="e" vm="30">
        <v>#VALUE!</v>
      </c>
      <c r="F267" s="18">
        <v>333002</v>
      </c>
      <c r="G267" s="19" t="s">
        <v>320</v>
      </c>
      <c r="H267" s="18">
        <v>10</v>
      </c>
      <c r="I267" s="18" t="s">
        <v>48</v>
      </c>
    </row>
    <row r="268" spans="1:9" ht="19.5" customHeight="1" x14ac:dyDescent="0.2">
      <c r="A268" s="18" t="s">
        <v>44</v>
      </c>
      <c r="B268" s="20" t="s">
        <v>20</v>
      </c>
      <c r="C268" s="20" t="s">
        <v>318</v>
      </c>
      <c r="D268" s="21" t="s">
        <v>319</v>
      </c>
      <c r="E268" s="104"/>
      <c r="F268" s="18">
        <v>333003</v>
      </c>
      <c r="G268" s="19" t="s">
        <v>321</v>
      </c>
      <c r="H268" s="18">
        <v>10</v>
      </c>
      <c r="I268" s="18" t="s">
        <v>48</v>
      </c>
    </row>
    <row r="269" spans="1:9" ht="19.5" customHeight="1" x14ac:dyDescent="0.2">
      <c r="A269" s="18" t="s">
        <v>44</v>
      </c>
      <c r="B269" s="20" t="s">
        <v>20</v>
      </c>
      <c r="C269" s="20" t="s">
        <v>318</v>
      </c>
      <c r="D269" s="21" t="s">
        <v>319</v>
      </c>
      <c r="E269" s="105"/>
      <c r="F269" s="18">
        <v>333004</v>
      </c>
      <c r="G269" s="19" t="s">
        <v>322</v>
      </c>
      <c r="H269" s="18">
        <v>10</v>
      </c>
      <c r="I269" s="18" t="s">
        <v>48</v>
      </c>
    </row>
    <row r="270" spans="1:9" ht="29.25" customHeight="1" x14ac:dyDescent="0.2">
      <c r="A270" s="18" t="s">
        <v>44</v>
      </c>
      <c r="B270" s="20" t="s">
        <v>20</v>
      </c>
      <c r="C270" s="20" t="s">
        <v>318</v>
      </c>
      <c r="D270" s="21" t="s">
        <v>319</v>
      </c>
      <c r="E270" s="103" t="e" vm="31">
        <v>#VALUE!</v>
      </c>
      <c r="F270" s="18">
        <v>333032</v>
      </c>
      <c r="G270" s="19" t="s">
        <v>323</v>
      </c>
      <c r="H270" s="18">
        <v>1</v>
      </c>
      <c r="I270" s="18" t="s">
        <v>48</v>
      </c>
    </row>
    <row r="271" spans="1:9" ht="27.75" customHeight="1" x14ac:dyDescent="0.2">
      <c r="A271" s="18" t="s">
        <v>44</v>
      </c>
      <c r="B271" s="20" t="s">
        <v>20</v>
      </c>
      <c r="C271" s="20" t="s">
        <v>318</v>
      </c>
      <c r="D271" s="21" t="s">
        <v>319</v>
      </c>
      <c r="E271" s="105"/>
      <c r="F271" s="18">
        <v>333033</v>
      </c>
      <c r="G271" s="19" t="s">
        <v>324</v>
      </c>
      <c r="H271" s="18">
        <v>1</v>
      </c>
      <c r="I271" s="18" t="s">
        <v>48</v>
      </c>
    </row>
    <row r="272" spans="1:9" ht="17.25" customHeight="1" x14ac:dyDescent="0.2">
      <c r="A272" s="18" t="s">
        <v>44</v>
      </c>
      <c r="B272" s="20" t="s">
        <v>20</v>
      </c>
      <c r="C272" s="20" t="s">
        <v>318</v>
      </c>
      <c r="D272" s="21" t="s">
        <v>319</v>
      </c>
      <c r="E272" s="103" t="e" vm="32">
        <v>#VALUE!</v>
      </c>
      <c r="F272" s="18">
        <v>333203</v>
      </c>
      <c r="G272" s="19" t="s">
        <v>325</v>
      </c>
      <c r="H272" s="18">
        <v>10</v>
      </c>
      <c r="I272" s="18" t="s">
        <v>48</v>
      </c>
    </row>
    <row r="273" spans="1:9" ht="17.25" customHeight="1" x14ac:dyDescent="0.2">
      <c r="A273" s="18" t="s">
        <v>44</v>
      </c>
      <c r="B273" s="20" t="s">
        <v>20</v>
      </c>
      <c r="C273" s="20" t="s">
        <v>318</v>
      </c>
      <c r="D273" s="21" t="s">
        <v>319</v>
      </c>
      <c r="E273" s="105"/>
      <c r="F273" s="18">
        <v>333204</v>
      </c>
      <c r="G273" s="19" t="s">
        <v>326</v>
      </c>
      <c r="H273" s="18">
        <v>10</v>
      </c>
      <c r="I273" s="18" t="s">
        <v>48</v>
      </c>
    </row>
    <row r="274" spans="1:9" ht="18.75" customHeight="1" x14ac:dyDescent="0.2">
      <c r="A274" s="18" t="s">
        <v>44</v>
      </c>
      <c r="B274" s="20" t="s">
        <v>20</v>
      </c>
      <c r="C274" s="20" t="s">
        <v>318</v>
      </c>
      <c r="D274" s="21" t="s">
        <v>319</v>
      </c>
      <c r="E274" s="103" t="e" vm="33">
        <v>#VALUE!</v>
      </c>
      <c r="F274" s="18">
        <v>333303</v>
      </c>
      <c r="G274" s="19" t="s">
        <v>327</v>
      </c>
      <c r="H274" s="18">
        <v>10</v>
      </c>
      <c r="I274" s="18" t="s">
        <v>48</v>
      </c>
    </row>
    <row r="275" spans="1:9" ht="18.75" customHeight="1" x14ac:dyDescent="0.2">
      <c r="A275" s="18" t="s">
        <v>44</v>
      </c>
      <c r="B275" s="20" t="s">
        <v>20</v>
      </c>
      <c r="C275" s="20" t="s">
        <v>318</v>
      </c>
      <c r="D275" s="21" t="s">
        <v>319</v>
      </c>
      <c r="E275" s="105"/>
      <c r="F275" s="18">
        <v>333304</v>
      </c>
      <c r="G275" s="19" t="s">
        <v>328</v>
      </c>
      <c r="H275" s="18">
        <v>10</v>
      </c>
      <c r="I275" s="18" t="s">
        <v>48</v>
      </c>
    </row>
    <row r="276" spans="1:9" ht="18.75" customHeight="1" x14ac:dyDescent="0.2">
      <c r="A276" s="18" t="s">
        <v>44</v>
      </c>
      <c r="B276" s="20" t="s">
        <v>20</v>
      </c>
      <c r="C276" s="20" t="s">
        <v>318</v>
      </c>
      <c r="D276" s="18" t="s">
        <v>319</v>
      </c>
      <c r="E276" s="103" t="e" vm="34">
        <v>#VALUE!</v>
      </c>
      <c r="F276" s="18">
        <v>33042</v>
      </c>
      <c r="G276" s="19" t="s">
        <v>329</v>
      </c>
      <c r="H276" s="18">
        <v>10</v>
      </c>
      <c r="I276" s="18" t="s">
        <v>48</v>
      </c>
    </row>
    <row r="277" spans="1:9" ht="18" customHeight="1" x14ac:dyDescent="0.2">
      <c r="A277" s="18" t="s">
        <v>44</v>
      </c>
      <c r="B277" s="20" t="s">
        <v>20</v>
      </c>
      <c r="C277" s="20" t="s">
        <v>318</v>
      </c>
      <c r="D277" s="18" t="s">
        <v>319</v>
      </c>
      <c r="E277" s="104"/>
      <c r="F277" s="18">
        <v>33043</v>
      </c>
      <c r="G277" s="19" t="s">
        <v>330</v>
      </c>
      <c r="H277" s="18">
        <v>10</v>
      </c>
      <c r="I277" s="18" t="s">
        <v>48</v>
      </c>
    </row>
    <row r="278" spans="1:9" ht="18" customHeight="1" x14ac:dyDescent="0.2">
      <c r="A278" s="18" t="s">
        <v>44</v>
      </c>
      <c r="B278" s="20" t="s">
        <v>20</v>
      </c>
      <c r="C278" s="20" t="s">
        <v>318</v>
      </c>
      <c r="D278" s="18" t="s">
        <v>319</v>
      </c>
      <c r="E278" s="105"/>
      <c r="F278" s="18">
        <v>33044</v>
      </c>
      <c r="G278" s="19" t="s">
        <v>331</v>
      </c>
      <c r="H278" s="18">
        <v>10</v>
      </c>
      <c r="I278" s="18" t="s">
        <v>48</v>
      </c>
    </row>
    <row r="279" spans="1:9" ht="18.75" customHeight="1" x14ac:dyDescent="0.2">
      <c r="A279" s="18" t="s">
        <v>44</v>
      </c>
      <c r="B279" s="20" t="s">
        <v>20</v>
      </c>
      <c r="C279" s="20" t="s">
        <v>318</v>
      </c>
      <c r="D279" s="18" t="s">
        <v>319</v>
      </c>
      <c r="E279" s="103" t="e" vm="35">
        <v>#VALUE!</v>
      </c>
      <c r="F279" s="18">
        <v>33052</v>
      </c>
      <c r="G279" s="19" t="s">
        <v>332</v>
      </c>
      <c r="H279" s="18">
        <v>10</v>
      </c>
      <c r="I279" s="18" t="s">
        <v>48</v>
      </c>
    </row>
    <row r="280" spans="1:9" ht="18.75" customHeight="1" x14ac:dyDescent="0.2">
      <c r="A280" s="18" t="s">
        <v>44</v>
      </c>
      <c r="B280" s="20" t="s">
        <v>20</v>
      </c>
      <c r="C280" s="20" t="s">
        <v>318</v>
      </c>
      <c r="D280" s="18" t="s">
        <v>319</v>
      </c>
      <c r="E280" s="104"/>
      <c r="F280" s="18">
        <v>33053</v>
      </c>
      <c r="G280" s="19" t="s">
        <v>333</v>
      </c>
      <c r="H280" s="18">
        <v>10</v>
      </c>
      <c r="I280" s="18" t="s">
        <v>48</v>
      </c>
    </row>
    <row r="281" spans="1:9" ht="18.75" customHeight="1" x14ac:dyDescent="0.2">
      <c r="A281" s="18" t="s">
        <v>44</v>
      </c>
      <c r="B281" s="20" t="s">
        <v>20</v>
      </c>
      <c r="C281" s="20" t="s">
        <v>318</v>
      </c>
      <c r="D281" s="18" t="s">
        <v>319</v>
      </c>
      <c r="E281" s="105"/>
      <c r="F281" s="18">
        <v>33054</v>
      </c>
      <c r="G281" s="19" t="s">
        <v>334</v>
      </c>
      <c r="H281" s="18">
        <v>10</v>
      </c>
      <c r="I281" s="18" t="s">
        <v>48</v>
      </c>
    </row>
    <row r="282" spans="1:9" ht="18.75" customHeight="1" x14ac:dyDescent="0.2">
      <c r="A282" s="18" t="s">
        <v>44</v>
      </c>
      <c r="B282" s="20" t="s">
        <v>20</v>
      </c>
      <c r="C282" s="20" t="s">
        <v>318</v>
      </c>
      <c r="D282" s="18" t="s">
        <v>319</v>
      </c>
      <c r="E282" s="103" t="e" vm="36">
        <v>#VALUE!</v>
      </c>
      <c r="F282" s="18">
        <v>33062</v>
      </c>
      <c r="G282" s="19" t="s">
        <v>335</v>
      </c>
      <c r="H282" s="18">
        <v>10</v>
      </c>
      <c r="I282" s="18" t="s">
        <v>48</v>
      </c>
    </row>
    <row r="283" spans="1:9" ht="18.75" customHeight="1" x14ac:dyDescent="0.2">
      <c r="A283" s="18" t="s">
        <v>44</v>
      </c>
      <c r="B283" s="20" t="s">
        <v>20</v>
      </c>
      <c r="C283" s="20" t="s">
        <v>318</v>
      </c>
      <c r="D283" s="18" t="s">
        <v>319</v>
      </c>
      <c r="E283" s="104"/>
      <c r="F283" s="18">
        <v>33063</v>
      </c>
      <c r="G283" s="19" t="s">
        <v>336</v>
      </c>
      <c r="H283" s="18">
        <v>10</v>
      </c>
      <c r="I283" s="18" t="s">
        <v>48</v>
      </c>
    </row>
    <row r="284" spans="1:9" ht="18.75" customHeight="1" x14ac:dyDescent="0.2">
      <c r="A284" s="18" t="s">
        <v>44</v>
      </c>
      <c r="B284" s="20" t="s">
        <v>20</v>
      </c>
      <c r="C284" s="20" t="s">
        <v>318</v>
      </c>
      <c r="D284" s="18" t="s">
        <v>319</v>
      </c>
      <c r="E284" s="105"/>
      <c r="F284" s="18">
        <v>33064</v>
      </c>
      <c r="G284" s="19" t="s">
        <v>337</v>
      </c>
      <c r="H284" s="18">
        <v>10</v>
      </c>
      <c r="I284" s="18" t="s">
        <v>48</v>
      </c>
    </row>
    <row r="285" spans="1:9" ht="18" customHeight="1" x14ac:dyDescent="0.2">
      <c r="A285" s="18" t="s">
        <v>44</v>
      </c>
      <c r="B285" s="20" t="s">
        <v>20</v>
      </c>
      <c r="C285" s="20" t="s">
        <v>318</v>
      </c>
      <c r="D285" s="18" t="s">
        <v>319</v>
      </c>
      <c r="E285" s="103" t="e" vm="37">
        <v>#VALUE!</v>
      </c>
      <c r="F285" s="18">
        <v>33402</v>
      </c>
      <c r="G285" s="19" t="s">
        <v>338</v>
      </c>
      <c r="H285" s="18">
        <v>10</v>
      </c>
      <c r="I285" s="18" t="s">
        <v>48</v>
      </c>
    </row>
    <row r="286" spans="1:9" ht="18.75" customHeight="1" x14ac:dyDescent="0.2">
      <c r="A286" s="18" t="s">
        <v>44</v>
      </c>
      <c r="B286" s="20" t="s">
        <v>20</v>
      </c>
      <c r="C286" s="20" t="s">
        <v>318</v>
      </c>
      <c r="D286" s="18" t="s">
        <v>319</v>
      </c>
      <c r="E286" s="104"/>
      <c r="F286" s="18">
        <v>33403</v>
      </c>
      <c r="G286" s="19" t="s">
        <v>339</v>
      </c>
      <c r="H286" s="18">
        <v>10</v>
      </c>
      <c r="I286" s="18" t="s">
        <v>48</v>
      </c>
    </row>
    <row r="287" spans="1:9" ht="18.75" customHeight="1" x14ac:dyDescent="0.2">
      <c r="A287" s="18" t="s">
        <v>44</v>
      </c>
      <c r="B287" s="20" t="s">
        <v>20</v>
      </c>
      <c r="C287" s="20" t="s">
        <v>318</v>
      </c>
      <c r="D287" s="18" t="s">
        <v>319</v>
      </c>
      <c r="E287" s="105"/>
      <c r="F287" s="18">
        <v>33404</v>
      </c>
      <c r="G287" s="19" t="s">
        <v>340</v>
      </c>
      <c r="H287" s="18">
        <v>10</v>
      </c>
      <c r="I287" s="18" t="s">
        <v>48</v>
      </c>
    </row>
    <row r="288" spans="1:9" ht="18.75" customHeight="1" x14ac:dyDescent="0.2">
      <c r="A288" s="18" t="s">
        <v>44</v>
      </c>
      <c r="B288" s="20" t="s">
        <v>20</v>
      </c>
      <c r="C288" s="20" t="s">
        <v>318</v>
      </c>
      <c r="D288" s="18" t="s">
        <v>319</v>
      </c>
      <c r="E288" s="113" t="e" vm="38">
        <v>#VALUE!</v>
      </c>
      <c r="F288" s="18">
        <v>33072</v>
      </c>
      <c r="G288" s="19" t="s">
        <v>341</v>
      </c>
      <c r="H288" s="18">
        <v>10</v>
      </c>
      <c r="I288" s="18" t="s">
        <v>48</v>
      </c>
    </row>
    <row r="289" spans="1:9" ht="18.75" customHeight="1" x14ac:dyDescent="0.2">
      <c r="A289" s="18" t="s">
        <v>44</v>
      </c>
      <c r="B289" s="20" t="s">
        <v>20</v>
      </c>
      <c r="C289" s="20" t="s">
        <v>318</v>
      </c>
      <c r="D289" s="18" t="s">
        <v>319</v>
      </c>
      <c r="E289" s="104"/>
      <c r="F289" s="18">
        <v>33073</v>
      </c>
      <c r="G289" s="19" t="s">
        <v>342</v>
      </c>
      <c r="H289" s="18">
        <v>10</v>
      </c>
      <c r="I289" s="18" t="s">
        <v>48</v>
      </c>
    </row>
    <row r="290" spans="1:9" ht="18.75" customHeight="1" x14ac:dyDescent="0.2">
      <c r="A290" s="18" t="s">
        <v>44</v>
      </c>
      <c r="B290" s="20" t="s">
        <v>20</v>
      </c>
      <c r="C290" s="20" t="s">
        <v>318</v>
      </c>
      <c r="D290" s="18" t="s">
        <v>319</v>
      </c>
      <c r="E290" s="105"/>
      <c r="F290" s="18">
        <v>33074</v>
      </c>
      <c r="G290" s="19" t="s">
        <v>343</v>
      </c>
      <c r="H290" s="18">
        <v>10</v>
      </c>
      <c r="I290" s="18" t="s">
        <v>48</v>
      </c>
    </row>
    <row r="291" spans="1:9" ht="20.25" customHeight="1" x14ac:dyDescent="0.2">
      <c r="A291" s="18" t="s">
        <v>44</v>
      </c>
      <c r="B291" s="20" t="s">
        <v>20</v>
      </c>
      <c r="C291" s="20" t="s">
        <v>318</v>
      </c>
      <c r="D291" s="21" t="s">
        <v>319</v>
      </c>
      <c r="E291" s="103" t="e" vm="39">
        <v>#VALUE!</v>
      </c>
      <c r="F291" s="18">
        <v>333101</v>
      </c>
      <c r="G291" s="19" t="s">
        <v>344</v>
      </c>
      <c r="H291" s="18">
        <v>10</v>
      </c>
      <c r="I291" s="18" t="s">
        <v>48</v>
      </c>
    </row>
    <row r="292" spans="1:9" ht="20.25" customHeight="1" x14ac:dyDescent="0.2">
      <c r="A292" s="18" t="s">
        <v>44</v>
      </c>
      <c r="B292" s="20" t="s">
        <v>20</v>
      </c>
      <c r="C292" s="20" t="s">
        <v>318</v>
      </c>
      <c r="D292" s="21" t="s">
        <v>319</v>
      </c>
      <c r="E292" s="104"/>
      <c r="F292" s="18">
        <v>333102</v>
      </c>
      <c r="G292" s="19" t="s">
        <v>345</v>
      </c>
      <c r="H292" s="18">
        <v>10</v>
      </c>
      <c r="I292" s="18" t="s">
        <v>48</v>
      </c>
    </row>
    <row r="293" spans="1:9" ht="20.25" customHeight="1" x14ac:dyDescent="0.2">
      <c r="A293" s="18" t="s">
        <v>44</v>
      </c>
      <c r="B293" s="20" t="s">
        <v>20</v>
      </c>
      <c r="C293" s="20" t="s">
        <v>318</v>
      </c>
      <c r="D293" s="21" t="s">
        <v>319</v>
      </c>
      <c r="E293" s="105"/>
      <c r="F293" s="18">
        <v>333103</v>
      </c>
      <c r="G293" s="19" t="s">
        <v>346</v>
      </c>
      <c r="H293" s="18">
        <v>10</v>
      </c>
      <c r="I293" s="18" t="s">
        <v>48</v>
      </c>
    </row>
    <row r="294" spans="1:9" ht="20.25" customHeight="1" x14ac:dyDescent="0.2">
      <c r="A294" s="18" t="s">
        <v>44</v>
      </c>
      <c r="B294" s="20" t="s">
        <v>20</v>
      </c>
      <c r="C294" s="20" t="s">
        <v>318</v>
      </c>
      <c r="D294" s="21" t="s">
        <v>319</v>
      </c>
      <c r="E294" s="111" t="e" vm="40">
        <v>#VALUE!</v>
      </c>
      <c r="F294" s="18">
        <v>335101</v>
      </c>
      <c r="G294" s="19" t="s">
        <v>347</v>
      </c>
      <c r="H294" s="18">
        <v>10</v>
      </c>
      <c r="I294" s="18" t="s">
        <v>48</v>
      </c>
    </row>
    <row r="295" spans="1:9" ht="20.25" customHeight="1" x14ac:dyDescent="0.2">
      <c r="A295" s="18" t="s">
        <v>44</v>
      </c>
      <c r="B295" s="20" t="s">
        <v>20</v>
      </c>
      <c r="C295" s="20" t="s">
        <v>318</v>
      </c>
      <c r="D295" s="21" t="s">
        <v>319</v>
      </c>
      <c r="E295" s="111"/>
      <c r="F295" s="18">
        <v>335102</v>
      </c>
      <c r="G295" s="19" t="s">
        <v>348</v>
      </c>
      <c r="H295" s="18">
        <v>8</v>
      </c>
      <c r="I295" s="18" t="s">
        <v>48</v>
      </c>
    </row>
    <row r="296" spans="1:9" ht="20.25" customHeight="1" x14ac:dyDescent="0.2">
      <c r="A296" s="18" t="s">
        <v>44</v>
      </c>
      <c r="B296" s="20" t="s">
        <v>20</v>
      </c>
      <c r="C296" s="20" t="s">
        <v>318</v>
      </c>
      <c r="D296" s="21" t="s">
        <v>319</v>
      </c>
      <c r="E296" s="111"/>
      <c r="F296" s="18">
        <v>335103</v>
      </c>
      <c r="G296" s="19" t="s">
        <v>349</v>
      </c>
      <c r="H296" s="18">
        <v>8</v>
      </c>
      <c r="I296" s="18" t="s">
        <v>48</v>
      </c>
    </row>
    <row r="297" spans="1:9" ht="20.25" customHeight="1" x14ac:dyDescent="0.2">
      <c r="A297" s="18" t="s">
        <v>44</v>
      </c>
      <c r="B297" s="20" t="s">
        <v>20</v>
      </c>
      <c r="C297" s="20" t="s">
        <v>318</v>
      </c>
      <c r="D297" s="21" t="s">
        <v>319</v>
      </c>
      <c r="E297" s="111"/>
      <c r="F297" s="18">
        <v>335104</v>
      </c>
      <c r="G297" s="19" t="s">
        <v>350</v>
      </c>
      <c r="H297" s="18">
        <v>8</v>
      </c>
      <c r="I297" s="18" t="s">
        <v>48</v>
      </c>
    </row>
    <row r="298" spans="1:9" ht="20.25" customHeight="1" x14ac:dyDescent="0.2">
      <c r="A298" s="18" t="s">
        <v>44</v>
      </c>
      <c r="B298" s="20" t="s">
        <v>20</v>
      </c>
      <c r="C298" s="20" t="s">
        <v>318</v>
      </c>
      <c r="D298" s="21" t="s">
        <v>319</v>
      </c>
      <c r="E298" s="111"/>
      <c r="F298" s="18">
        <v>335105</v>
      </c>
      <c r="G298" s="19" t="s">
        <v>351</v>
      </c>
      <c r="H298" s="18">
        <v>2</v>
      </c>
      <c r="I298" s="18" t="s">
        <v>48</v>
      </c>
    </row>
    <row r="299" spans="1:9" ht="20.25" customHeight="1" x14ac:dyDescent="0.2">
      <c r="A299" s="18" t="s">
        <v>44</v>
      </c>
      <c r="B299" s="20" t="s">
        <v>20</v>
      </c>
      <c r="C299" s="20" t="s">
        <v>318</v>
      </c>
      <c r="D299" s="21" t="s">
        <v>319</v>
      </c>
      <c r="E299" s="111"/>
      <c r="F299" s="18">
        <v>335106</v>
      </c>
      <c r="G299" s="19" t="s">
        <v>352</v>
      </c>
      <c r="H299" s="18">
        <v>1</v>
      </c>
      <c r="I299" s="18" t="s">
        <v>146</v>
      </c>
    </row>
    <row r="300" spans="1:9" ht="39" customHeight="1" x14ac:dyDescent="0.2">
      <c r="A300" s="18" t="s">
        <v>44</v>
      </c>
      <c r="B300" s="20" t="s">
        <v>20</v>
      </c>
      <c r="C300" s="20" t="s">
        <v>318</v>
      </c>
      <c r="D300" s="21" t="s">
        <v>319</v>
      </c>
      <c r="E300" s="73" t="e" vm="41">
        <v>#VALUE!</v>
      </c>
      <c r="F300" s="18">
        <v>34101</v>
      </c>
      <c r="G300" s="19" t="s">
        <v>353</v>
      </c>
      <c r="H300" s="18">
        <v>5</v>
      </c>
      <c r="I300" s="18" t="s">
        <v>48</v>
      </c>
    </row>
    <row r="301" spans="1:9" ht="39" customHeight="1" x14ac:dyDescent="0.2">
      <c r="A301" s="18" t="s">
        <v>44</v>
      </c>
      <c r="B301" s="20" t="s">
        <v>20</v>
      </c>
      <c r="C301" s="20" t="s">
        <v>318</v>
      </c>
      <c r="D301" s="21" t="s">
        <v>319</v>
      </c>
      <c r="E301" s="22" t="e" vm="42">
        <v>#VALUE!</v>
      </c>
      <c r="F301" s="18">
        <v>34201</v>
      </c>
      <c r="G301" s="19" t="s">
        <v>354</v>
      </c>
      <c r="H301" s="18">
        <v>5</v>
      </c>
      <c r="I301" s="18" t="s">
        <v>48</v>
      </c>
    </row>
    <row r="302" spans="1:9" ht="39" customHeight="1" x14ac:dyDescent="0.2">
      <c r="A302" s="18" t="s">
        <v>44</v>
      </c>
      <c r="B302" s="20" t="s">
        <v>20</v>
      </c>
      <c r="C302" s="20" t="s">
        <v>318</v>
      </c>
      <c r="D302" s="21" t="s">
        <v>319</v>
      </c>
      <c r="E302" s="24" t="e" vm="43">
        <v>#VALUE!</v>
      </c>
      <c r="F302" s="18">
        <v>34102</v>
      </c>
      <c r="G302" s="19" t="s">
        <v>355</v>
      </c>
      <c r="H302" s="18">
        <v>5</v>
      </c>
      <c r="I302" s="18" t="s">
        <v>48</v>
      </c>
    </row>
    <row r="303" spans="1:9" ht="39" customHeight="1" x14ac:dyDescent="0.2">
      <c r="A303" s="18" t="s">
        <v>44</v>
      </c>
      <c r="B303" s="20" t="s">
        <v>20</v>
      </c>
      <c r="C303" s="20" t="s">
        <v>318</v>
      </c>
      <c r="D303" s="21" t="s">
        <v>319</v>
      </c>
      <c r="E303" s="24" t="e" vm="44">
        <v>#VALUE!</v>
      </c>
      <c r="F303" s="18">
        <v>34202</v>
      </c>
      <c r="G303" s="19" t="s">
        <v>356</v>
      </c>
      <c r="H303" s="18">
        <v>5</v>
      </c>
      <c r="I303" s="18" t="s">
        <v>48</v>
      </c>
    </row>
    <row r="304" spans="1:9" ht="30" customHeight="1" x14ac:dyDescent="0.2">
      <c r="A304" s="18" t="s">
        <v>44</v>
      </c>
      <c r="B304" s="19" t="s">
        <v>20</v>
      </c>
      <c r="C304" s="19" t="s">
        <v>357</v>
      </c>
      <c r="D304" s="21" t="s">
        <v>358</v>
      </c>
      <c r="E304" s="103" t="e" vm="45">
        <v>#VALUE!</v>
      </c>
      <c r="F304" s="18">
        <v>334801</v>
      </c>
      <c r="G304" s="19" t="s">
        <v>359</v>
      </c>
      <c r="H304" s="18">
        <v>10</v>
      </c>
      <c r="I304" s="18" t="s">
        <v>146</v>
      </c>
    </row>
    <row r="305" spans="1:9" ht="30" customHeight="1" x14ac:dyDescent="0.2">
      <c r="A305" s="18" t="s">
        <v>44</v>
      </c>
      <c r="B305" s="19" t="s">
        <v>20</v>
      </c>
      <c r="C305" s="19" t="s">
        <v>357</v>
      </c>
      <c r="D305" s="21" t="s">
        <v>358</v>
      </c>
      <c r="E305" s="105"/>
      <c r="F305" s="18">
        <v>334802</v>
      </c>
      <c r="G305" s="19" t="s">
        <v>360</v>
      </c>
      <c r="H305" s="18">
        <v>5</v>
      </c>
      <c r="I305" s="18" t="s">
        <v>146</v>
      </c>
    </row>
    <row r="306" spans="1:9" ht="41.25" customHeight="1" x14ac:dyDescent="0.2">
      <c r="A306" s="18" t="s">
        <v>44</v>
      </c>
      <c r="B306" s="19" t="s">
        <v>20</v>
      </c>
      <c r="C306" s="19" t="s">
        <v>357</v>
      </c>
      <c r="D306" s="21" t="s">
        <v>358</v>
      </c>
      <c r="E306" s="73" t="e" vm="46">
        <v>#VALUE!</v>
      </c>
      <c r="F306" s="18">
        <v>34701</v>
      </c>
      <c r="G306" s="19" t="s">
        <v>361</v>
      </c>
      <c r="H306" s="18">
        <v>1</v>
      </c>
      <c r="I306" s="18" t="s">
        <v>146</v>
      </c>
    </row>
    <row r="307" spans="1:9" ht="15.75" customHeight="1" x14ac:dyDescent="0.2">
      <c r="A307" s="18" t="s">
        <v>44</v>
      </c>
      <c r="B307" s="19" t="s">
        <v>20</v>
      </c>
      <c r="C307" s="19" t="s">
        <v>357</v>
      </c>
      <c r="D307" s="21" t="s">
        <v>358</v>
      </c>
      <c r="E307" s="103" t="e" vm="47">
        <v>#VALUE!</v>
      </c>
      <c r="F307" s="18">
        <v>333612</v>
      </c>
      <c r="G307" s="19" t="s">
        <v>362</v>
      </c>
      <c r="H307" s="18">
        <v>10</v>
      </c>
      <c r="I307" s="18" t="s">
        <v>363</v>
      </c>
    </row>
    <row r="308" spans="1:9" ht="15.75" customHeight="1" x14ac:dyDescent="0.2">
      <c r="A308" s="18" t="s">
        <v>44</v>
      </c>
      <c r="B308" s="19" t="s">
        <v>20</v>
      </c>
      <c r="C308" s="19" t="s">
        <v>357</v>
      </c>
      <c r="D308" s="21" t="s">
        <v>358</v>
      </c>
      <c r="E308" s="104"/>
      <c r="F308" s="18">
        <v>333613</v>
      </c>
      <c r="G308" s="19" t="s">
        <v>364</v>
      </c>
      <c r="H308" s="18">
        <v>10</v>
      </c>
      <c r="I308" s="18" t="s">
        <v>363</v>
      </c>
    </row>
    <row r="309" spans="1:9" ht="15.75" customHeight="1" x14ac:dyDescent="0.2">
      <c r="A309" s="18" t="s">
        <v>44</v>
      </c>
      <c r="B309" s="19" t="s">
        <v>20</v>
      </c>
      <c r="C309" s="19" t="s">
        <v>357</v>
      </c>
      <c r="D309" s="21" t="s">
        <v>358</v>
      </c>
      <c r="E309" s="104"/>
      <c r="F309" s="18">
        <v>333614</v>
      </c>
      <c r="G309" s="19" t="s">
        <v>365</v>
      </c>
      <c r="H309" s="18">
        <v>10</v>
      </c>
      <c r="I309" s="18" t="s">
        <v>363</v>
      </c>
    </row>
    <row r="310" spans="1:9" ht="15.75" customHeight="1" x14ac:dyDescent="0.2">
      <c r="A310" s="18" t="s">
        <v>44</v>
      </c>
      <c r="B310" s="19" t="s">
        <v>20</v>
      </c>
      <c r="C310" s="19" t="s">
        <v>357</v>
      </c>
      <c r="D310" s="21" t="s">
        <v>358</v>
      </c>
      <c r="E310" s="104"/>
      <c r="F310" s="18">
        <v>333615</v>
      </c>
      <c r="G310" s="19" t="s">
        <v>366</v>
      </c>
      <c r="H310" s="18">
        <v>10</v>
      </c>
      <c r="I310" s="18" t="s">
        <v>363</v>
      </c>
    </row>
    <row r="311" spans="1:9" ht="15.75" customHeight="1" x14ac:dyDescent="0.2">
      <c r="A311" s="18" t="s">
        <v>44</v>
      </c>
      <c r="B311" s="19" t="s">
        <v>20</v>
      </c>
      <c r="C311" s="19" t="s">
        <v>357</v>
      </c>
      <c r="D311" s="21" t="s">
        <v>358</v>
      </c>
      <c r="E311" s="104"/>
      <c r="F311" s="18">
        <v>333616</v>
      </c>
      <c r="G311" s="19" t="s">
        <v>367</v>
      </c>
      <c r="H311" s="18">
        <v>10</v>
      </c>
      <c r="I311" s="18" t="s">
        <v>363</v>
      </c>
    </row>
    <row r="312" spans="1:9" ht="15.75" customHeight="1" x14ac:dyDescent="0.2">
      <c r="A312" s="18" t="s">
        <v>44</v>
      </c>
      <c r="B312" s="19" t="s">
        <v>20</v>
      </c>
      <c r="C312" s="19" t="s">
        <v>357</v>
      </c>
      <c r="D312" s="21" t="s">
        <v>358</v>
      </c>
      <c r="E312" s="104"/>
      <c r="F312" s="18">
        <v>333617</v>
      </c>
      <c r="G312" s="19" t="s">
        <v>368</v>
      </c>
      <c r="H312" s="18">
        <v>1</v>
      </c>
      <c r="I312" s="18" t="s">
        <v>363</v>
      </c>
    </row>
    <row r="313" spans="1:9" ht="15.75" customHeight="1" x14ac:dyDescent="0.2">
      <c r="A313" s="18" t="s">
        <v>44</v>
      </c>
      <c r="B313" s="19" t="s">
        <v>20</v>
      </c>
      <c r="C313" s="19" t="s">
        <v>357</v>
      </c>
      <c r="D313" s="21" t="s">
        <v>358</v>
      </c>
      <c r="E313" s="104"/>
      <c r="F313" s="18">
        <v>333618</v>
      </c>
      <c r="G313" s="19" t="s">
        <v>369</v>
      </c>
      <c r="H313" s="18">
        <v>1</v>
      </c>
      <c r="I313" s="18" t="s">
        <v>363</v>
      </c>
    </row>
    <row r="314" spans="1:9" ht="15.75" customHeight="1" x14ac:dyDescent="0.2">
      <c r="A314" s="18" t="s">
        <v>44</v>
      </c>
      <c r="B314" s="19" t="s">
        <v>20</v>
      </c>
      <c r="C314" s="19" t="s">
        <v>357</v>
      </c>
      <c r="D314" s="21" t="s">
        <v>358</v>
      </c>
      <c r="E314" s="104"/>
      <c r="F314" s="18">
        <v>333619</v>
      </c>
      <c r="G314" s="19" t="s">
        <v>370</v>
      </c>
      <c r="H314" s="18">
        <v>1</v>
      </c>
      <c r="I314" s="18" t="s">
        <v>363</v>
      </c>
    </row>
    <row r="315" spans="1:9" ht="15.75" customHeight="1" x14ac:dyDescent="0.2">
      <c r="A315" s="18" t="s">
        <v>44</v>
      </c>
      <c r="B315" s="19" t="s">
        <v>20</v>
      </c>
      <c r="C315" s="19" t="s">
        <v>357</v>
      </c>
      <c r="D315" s="21" t="s">
        <v>358</v>
      </c>
      <c r="E315" s="105"/>
      <c r="F315" s="25">
        <v>333620</v>
      </c>
      <c r="G315" s="26" t="s">
        <v>371</v>
      </c>
      <c r="H315" s="18">
        <v>1</v>
      </c>
      <c r="I315" s="18" t="s">
        <v>363</v>
      </c>
    </row>
    <row r="316" spans="1:9" ht="54" customHeight="1" x14ac:dyDescent="0.2">
      <c r="A316" s="18" t="s">
        <v>44</v>
      </c>
      <c r="B316" s="19" t="s">
        <v>372</v>
      </c>
      <c r="C316" s="19" t="s">
        <v>373</v>
      </c>
      <c r="D316" s="21" t="s">
        <v>374</v>
      </c>
      <c r="E316" s="74" t="e" vm="48">
        <v>#VALUE!</v>
      </c>
      <c r="F316" s="27">
        <v>345001</v>
      </c>
      <c r="G316" s="28" t="s">
        <v>375</v>
      </c>
      <c r="H316" s="18">
        <v>30</v>
      </c>
      <c r="I316" s="18" t="s">
        <v>363</v>
      </c>
    </row>
    <row r="317" spans="1:9" ht="54" customHeight="1" x14ac:dyDescent="0.2">
      <c r="A317" s="18" t="s">
        <v>44</v>
      </c>
      <c r="B317" s="19" t="s">
        <v>372</v>
      </c>
      <c r="C317" s="19" t="s">
        <v>373</v>
      </c>
      <c r="D317" s="21" t="s">
        <v>376</v>
      </c>
      <c r="E317" s="29" t="e" vm="49">
        <v>#VALUE!</v>
      </c>
      <c r="F317" s="27">
        <v>345002</v>
      </c>
      <c r="G317" s="28" t="s">
        <v>377</v>
      </c>
      <c r="H317" s="18">
        <v>30</v>
      </c>
      <c r="I317" s="18" t="s">
        <v>363</v>
      </c>
    </row>
    <row r="318" spans="1:9" ht="54" customHeight="1" x14ac:dyDescent="0.2">
      <c r="A318" s="18" t="s">
        <v>44</v>
      </c>
      <c r="B318" s="19" t="s">
        <v>372</v>
      </c>
      <c r="C318" s="19" t="s">
        <v>373</v>
      </c>
      <c r="D318" s="21" t="s">
        <v>378</v>
      </c>
      <c r="E318" s="29" t="e" vm="50">
        <v>#VALUE!</v>
      </c>
      <c r="F318" s="27">
        <v>345003</v>
      </c>
      <c r="G318" s="28" t="s">
        <v>379</v>
      </c>
      <c r="H318" s="18">
        <v>24</v>
      </c>
      <c r="I318" s="18" t="s">
        <v>363</v>
      </c>
    </row>
    <row r="319" spans="1:9" ht="54" customHeight="1" x14ac:dyDescent="0.2">
      <c r="A319" s="18" t="s">
        <v>44</v>
      </c>
      <c r="B319" s="19" t="s">
        <v>372</v>
      </c>
      <c r="C319" s="19" t="s">
        <v>373</v>
      </c>
      <c r="D319" s="21" t="s">
        <v>380</v>
      </c>
      <c r="E319" s="29" t="e" vm="51">
        <v>#VALUE!</v>
      </c>
      <c r="F319" s="27">
        <v>345004</v>
      </c>
      <c r="G319" s="28" t="s">
        <v>381</v>
      </c>
      <c r="H319" s="18">
        <v>12</v>
      </c>
      <c r="I319" s="18" t="s">
        <v>363</v>
      </c>
    </row>
    <row r="320" spans="1:9" ht="54" customHeight="1" x14ac:dyDescent="0.2">
      <c r="A320" s="18" t="s">
        <v>44</v>
      </c>
      <c r="B320" s="19" t="s">
        <v>372</v>
      </c>
      <c r="C320" s="19" t="s">
        <v>373</v>
      </c>
      <c r="D320" s="21" t="s">
        <v>378</v>
      </c>
      <c r="E320" s="29" t="e" vm="52">
        <v>#VALUE!</v>
      </c>
      <c r="F320" s="27">
        <v>345005</v>
      </c>
      <c r="G320" s="28" t="s">
        <v>382</v>
      </c>
      <c r="H320" s="18">
        <v>24</v>
      </c>
      <c r="I320" s="18" t="s">
        <v>363</v>
      </c>
    </row>
    <row r="321" spans="1:9" ht="54" customHeight="1" x14ac:dyDescent="0.2">
      <c r="A321" s="18" t="s">
        <v>44</v>
      </c>
      <c r="B321" s="19" t="s">
        <v>372</v>
      </c>
      <c r="C321" s="19" t="s">
        <v>373</v>
      </c>
      <c r="D321" s="21" t="s">
        <v>380</v>
      </c>
      <c r="E321" s="29" t="e" vm="53">
        <v>#VALUE!</v>
      </c>
      <c r="F321" s="27">
        <v>345006</v>
      </c>
      <c r="G321" s="28" t="s">
        <v>383</v>
      </c>
      <c r="H321" s="18">
        <v>12</v>
      </c>
      <c r="I321" s="18" t="s">
        <v>363</v>
      </c>
    </row>
    <row r="322" spans="1:9" ht="54" customHeight="1" x14ac:dyDescent="0.2">
      <c r="A322" s="18" t="s">
        <v>44</v>
      </c>
      <c r="B322" s="19" t="s">
        <v>372</v>
      </c>
      <c r="C322" s="19" t="s">
        <v>373</v>
      </c>
      <c r="D322" s="21" t="s">
        <v>384</v>
      </c>
      <c r="E322" s="23" t="e" vm="54">
        <v>#VALUE!</v>
      </c>
      <c r="F322" s="30">
        <v>45038</v>
      </c>
      <c r="G322" s="31" t="s">
        <v>385</v>
      </c>
      <c r="H322" s="18">
        <v>1</v>
      </c>
      <c r="I322" s="18" t="s">
        <v>146</v>
      </c>
    </row>
    <row r="323" spans="1:9" ht="46.5" customHeight="1" x14ac:dyDescent="0.2">
      <c r="A323" s="18" t="s">
        <v>44</v>
      </c>
      <c r="B323" s="19" t="s">
        <v>372</v>
      </c>
      <c r="C323" s="19" t="s">
        <v>373</v>
      </c>
      <c r="D323" s="32" t="s">
        <v>386</v>
      </c>
      <c r="E323" s="123" t="e" vm="55">
        <v>#VALUE!</v>
      </c>
      <c r="F323" s="18">
        <v>44405</v>
      </c>
      <c r="G323" s="19" t="s">
        <v>387</v>
      </c>
      <c r="H323" s="18">
        <v>250</v>
      </c>
      <c r="I323" s="18" t="s">
        <v>363</v>
      </c>
    </row>
    <row r="324" spans="1:9" ht="46.5" customHeight="1" x14ac:dyDescent="0.2">
      <c r="A324" s="18" t="s">
        <v>44</v>
      </c>
      <c r="B324" s="19" t="s">
        <v>372</v>
      </c>
      <c r="C324" s="19" t="s">
        <v>373</v>
      </c>
      <c r="D324" s="32" t="s">
        <v>386</v>
      </c>
      <c r="E324" s="123"/>
      <c r="F324" s="18">
        <v>44406</v>
      </c>
      <c r="G324" s="19" t="s">
        <v>388</v>
      </c>
      <c r="H324" s="18">
        <v>250</v>
      </c>
      <c r="I324" s="18" t="s">
        <v>363</v>
      </c>
    </row>
    <row r="325" spans="1:9" ht="15.75" customHeight="1" x14ac:dyDescent="0.2">
      <c r="A325" s="18" t="s">
        <v>44</v>
      </c>
      <c r="B325" s="19" t="s">
        <v>389</v>
      </c>
      <c r="C325" s="20" t="s">
        <v>390</v>
      </c>
      <c r="D325" s="21" t="s">
        <v>46</v>
      </c>
      <c r="E325" s="103" t="e" vm="56">
        <v>#VALUE!</v>
      </c>
      <c r="F325" s="18" t="s">
        <v>391</v>
      </c>
      <c r="G325" s="19" t="s">
        <v>392</v>
      </c>
      <c r="H325" s="18">
        <v>1</v>
      </c>
      <c r="I325" s="18" t="s">
        <v>146</v>
      </c>
    </row>
    <row r="326" spans="1:9" ht="15.75" customHeight="1" x14ac:dyDescent="0.2">
      <c r="A326" s="18" t="s">
        <v>44</v>
      </c>
      <c r="B326" s="19" t="s">
        <v>389</v>
      </c>
      <c r="C326" s="20" t="s">
        <v>390</v>
      </c>
      <c r="D326" s="21" t="s">
        <v>46</v>
      </c>
      <c r="E326" s="104"/>
      <c r="F326" s="18" t="s">
        <v>393</v>
      </c>
      <c r="G326" s="19" t="s">
        <v>394</v>
      </c>
      <c r="H326" s="18">
        <v>1</v>
      </c>
      <c r="I326" s="18" t="s">
        <v>146</v>
      </c>
    </row>
    <row r="327" spans="1:9" ht="15.75" customHeight="1" x14ac:dyDescent="0.2">
      <c r="A327" s="18" t="s">
        <v>44</v>
      </c>
      <c r="B327" s="19" t="s">
        <v>389</v>
      </c>
      <c r="C327" s="20" t="s">
        <v>390</v>
      </c>
      <c r="D327" s="21" t="s">
        <v>46</v>
      </c>
      <c r="E327" s="104"/>
      <c r="F327" s="18" t="s">
        <v>395</v>
      </c>
      <c r="G327" s="19" t="s">
        <v>396</v>
      </c>
      <c r="H327" s="18">
        <v>1</v>
      </c>
      <c r="I327" s="18" t="s">
        <v>146</v>
      </c>
    </row>
    <row r="328" spans="1:9" ht="15.75" customHeight="1" x14ac:dyDescent="0.2">
      <c r="A328" s="18" t="s">
        <v>44</v>
      </c>
      <c r="B328" s="19" t="s">
        <v>389</v>
      </c>
      <c r="C328" s="20" t="s">
        <v>390</v>
      </c>
      <c r="D328" s="21" t="s">
        <v>46</v>
      </c>
      <c r="E328" s="104"/>
      <c r="F328" s="18" t="s">
        <v>397</v>
      </c>
      <c r="G328" s="19" t="s">
        <v>398</v>
      </c>
      <c r="H328" s="18">
        <v>1</v>
      </c>
      <c r="I328" s="18" t="s">
        <v>146</v>
      </c>
    </row>
    <row r="329" spans="1:9" ht="15.75" customHeight="1" x14ac:dyDescent="0.2">
      <c r="A329" s="18" t="s">
        <v>44</v>
      </c>
      <c r="B329" s="19" t="s">
        <v>389</v>
      </c>
      <c r="C329" s="20" t="s">
        <v>390</v>
      </c>
      <c r="D329" s="21" t="s">
        <v>46</v>
      </c>
      <c r="E329" s="104"/>
      <c r="F329" s="18" t="s">
        <v>399</v>
      </c>
      <c r="G329" s="19" t="s">
        <v>400</v>
      </c>
      <c r="H329" s="18">
        <v>1</v>
      </c>
      <c r="I329" s="18" t="s">
        <v>146</v>
      </c>
    </row>
    <row r="330" spans="1:9" ht="15.75" customHeight="1" x14ac:dyDescent="0.2">
      <c r="A330" s="18" t="s">
        <v>44</v>
      </c>
      <c r="B330" s="19" t="s">
        <v>389</v>
      </c>
      <c r="C330" s="20" t="s">
        <v>390</v>
      </c>
      <c r="D330" s="21" t="s">
        <v>46</v>
      </c>
      <c r="E330" s="104"/>
      <c r="F330" s="18" t="s">
        <v>401</v>
      </c>
      <c r="G330" s="19" t="s">
        <v>402</v>
      </c>
      <c r="H330" s="18">
        <v>1</v>
      </c>
      <c r="I330" s="18" t="s">
        <v>146</v>
      </c>
    </row>
    <row r="331" spans="1:9" ht="15.75" customHeight="1" x14ac:dyDescent="0.2">
      <c r="A331" s="18" t="s">
        <v>44</v>
      </c>
      <c r="B331" s="19" t="s">
        <v>389</v>
      </c>
      <c r="C331" s="20" t="s">
        <v>390</v>
      </c>
      <c r="D331" s="21" t="s">
        <v>46</v>
      </c>
      <c r="E331" s="104"/>
      <c r="F331" s="18" t="s">
        <v>403</v>
      </c>
      <c r="G331" s="19" t="s">
        <v>404</v>
      </c>
      <c r="H331" s="18">
        <v>1</v>
      </c>
      <c r="I331" s="18" t="s">
        <v>146</v>
      </c>
    </row>
    <row r="332" spans="1:9" ht="15.75" customHeight="1" x14ac:dyDescent="0.2">
      <c r="A332" s="18" t="s">
        <v>44</v>
      </c>
      <c r="B332" s="19" t="s">
        <v>389</v>
      </c>
      <c r="C332" s="20" t="s">
        <v>390</v>
      </c>
      <c r="D332" s="21" t="s">
        <v>46</v>
      </c>
      <c r="E332" s="104"/>
      <c r="F332" s="18" t="s">
        <v>405</v>
      </c>
      <c r="G332" s="19" t="s">
        <v>406</v>
      </c>
      <c r="H332" s="18">
        <v>1</v>
      </c>
      <c r="I332" s="18" t="s">
        <v>146</v>
      </c>
    </row>
    <row r="333" spans="1:9" ht="15.75" customHeight="1" x14ac:dyDescent="0.2">
      <c r="A333" s="18" t="s">
        <v>44</v>
      </c>
      <c r="B333" s="19" t="s">
        <v>389</v>
      </c>
      <c r="C333" s="20" t="s">
        <v>390</v>
      </c>
      <c r="D333" s="21" t="s">
        <v>46</v>
      </c>
      <c r="E333" s="104"/>
      <c r="F333" s="18" t="s">
        <v>407</v>
      </c>
      <c r="G333" s="19" t="s">
        <v>408</v>
      </c>
      <c r="H333" s="18">
        <v>10</v>
      </c>
      <c r="I333" s="18" t="s">
        <v>146</v>
      </c>
    </row>
    <row r="334" spans="1:9" ht="15.75" customHeight="1" x14ac:dyDescent="0.2">
      <c r="A334" s="18" t="s">
        <v>44</v>
      </c>
      <c r="B334" s="19" t="s">
        <v>389</v>
      </c>
      <c r="C334" s="20" t="s">
        <v>390</v>
      </c>
      <c r="D334" s="21" t="s">
        <v>46</v>
      </c>
      <c r="E334" s="104"/>
      <c r="F334" s="18" t="s">
        <v>409</v>
      </c>
      <c r="G334" s="19" t="s">
        <v>410</v>
      </c>
      <c r="H334" s="18">
        <v>10</v>
      </c>
      <c r="I334" s="18" t="s">
        <v>146</v>
      </c>
    </row>
    <row r="335" spans="1:9" ht="15.75" customHeight="1" x14ac:dyDescent="0.2">
      <c r="A335" s="18" t="s">
        <v>44</v>
      </c>
      <c r="B335" s="19" t="s">
        <v>389</v>
      </c>
      <c r="C335" s="20" t="s">
        <v>390</v>
      </c>
      <c r="D335" s="21" t="s">
        <v>46</v>
      </c>
      <c r="E335" s="104"/>
      <c r="F335" s="18" t="s">
        <v>411</v>
      </c>
      <c r="G335" s="19" t="s">
        <v>412</v>
      </c>
      <c r="H335" s="18">
        <v>10</v>
      </c>
      <c r="I335" s="18" t="s">
        <v>146</v>
      </c>
    </row>
    <row r="336" spans="1:9" ht="15.75" customHeight="1" x14ac:dyDescent="0.2">
      <c r="A336" s="18" t="s">
        <v>44</v>
      </c>
      <c r="B336" s="19" t="s">
        <v>389</v>
      </c>
      <c r="C336" s="20" t="s">
        <v>390</v>
      </c>
      <c r="D336" s="21" t="s">
        <v>46</v>
      </c>
      <c r="E336" s="105"/>
      <c r="F336" s="18" t="s">
        <v>413</v>
      </c>
      <c r="G336" s="19" t="s">
        <v>414</v>
      </c>
      <c r="H336" s="18">
        <v>5</v>
      </c>
      <c r="I336" s="18" t="s">
        <v>146</v>
      </c>
    </row>
    <row r="337" spans="1:9" ht="17.25" customHeight="1" x14ac:dyDescent="0.2">
      <c r="A337" s="18" t="s">
        <v>44</v>
      </c>
      <c r="B337" s="19" t="s">
        <v>389</v>
      </c>
      <c r="C337" s="20" t="s">
        <v>415</v>
      </c>
      <c r="D337" s="21" t="s">
        <v>77</v>
      </c>
      <c r="E337" s="103" t="e" vm="57">
        <v>#VALUE!</v>
      </c>
      <c r="F337" s="18">
        <v>341205</v>
      </c>
      <c r="G337" s="19" t="s">
        <v>416</v>
      </c>
      <c r="H337" s="18">
        <v>48</v>
      </c>
      <c r="I337" s="18" t="s">
        <v>363</v>
      </c>
    </row>
    <row r="338" spans="1:9" ht="17.25" customHeight="1" x14ac:dyDescent="0.2">
      <c r="A338" s="18" t="s">
        <v>44</v>
      </c>
      <c r="B338" s="19" t="s">
        <v>389</v>
      </c>
      <c r="C338" s="20" t="s">
        <v>415</v>
      </c>
      <c r="D338" s="21" t="s">
        <v>77</v>
      </c>
      <c r="E338" s="104"/>
      <c r="F338" s="18">
        <v>341206</v>
      </c>
      <c r="G338" s="19" t="s">
        <v>417</v>
      </c>
      <c r="H338" s="18">
        <v>36</v>
      </c>
      <c r="I338" s="18" t="s">
        <v>363</v>
      </c>
    </row>
    <row r="339" spans="1:9" ht="17.25" customHeight="1" x14ac:dyDescent="0.2">
      <c r="A339" s="18" t="s">
        <v>44</v>
      </c>
      <c r="B339" s="19" t="s">
        <v>389</v>
      </c>
      <c r="C339" s="20" t="s">
        <v>415</v>
      </c>
      <c r="D339" s="21" t="s">
        <v>77</v>
      </c>
      <c r="E339" s="104"/>
      <c r="F339" s="18">
        <v>341208</v>
      </c>
      <c r="G339" s="19" t="s">
        <v>418</v>
      </c>
      <c r="H339" s="18">
        <v>18</v>
      </c>
      <c r="I339" s="18" t="s">
        <v>363</v>
      </c>
    </row>
    <row r="340" spans="1:9" ht="17.25" customHeight="1" x14ac:dyDescent="0.2">
      <c r="A340" s="18" t="s">
        <v>44</v>
      </c>
      <c r="B340" s="19" t="s">
        <v>389</v>
      </c>
      <c r="C340" s="20" t="s">
        <v>415</v>
      </c>
      <c r="D340" s="21" t="s">
        <v>77</v>
      </c>
      <c r="E340" s="105"/>
      <c r="F340" s="18">
        <v>341210</v>
      </c>
      <c r="G340" s="19" t="s">
        <v>419</v>
      </c>
      <c r="H340" s="18">
        <v>10</v>
      </c>
      <c r="I340" s="18" t="s">
        <v>363</v>
      </c>
    </row>
    <row r="341" spans="1:9" ht="18" customHeight="1" x14ac:dyDescent="0.2">
      <c r="A341" s="18" t="s">
        <v>44</v>
      </c>
      <c r="B341" s="19" t="s">
        <v>389</v>
      </c>
      <c r="C341" s="20" t="s">
        <v>415</v>
      </c>
      <c r="D341" s="21" t="s">
        <v>77</v>
      </c>
      <c r="E341" s="103" t="e" vm="58">
        <v>#VALUE!</v>
      </c>
      <c r="F341" s="18">
        <v>341105</v>
      </c>
      <c r="G341" s="19" t="s">
        <v>420</v>
      </c>
      <c r="H341" s="18">
        <v>36</v>
      </c>
      <c r="I341" s="18" t="s">
        <v>363</v>
      </c>
    </row>
    <row r="342" spans="1:9" ht="18" customHeight="1" x14ac:dyDescent="0.2">
      <c r="A342" s="18" t="s">
        <v>44</v>
      </c>
      <c r="B342" s="19" t="s">
        <v>389</v>
      </c>
      <c r="C342" s="20" t="s">
        <v>415</v>
      </c>
      <c r="D342" s="21" t="s">
        <v>77</v>
      </c>
      <c r="E342" s="104"/>
      <c r="F342" s="18">
        <v>341106</v>
      </c>
      <c r="G342" s="19" t="s">
        <v>421</v>
      </c>
      <c r="H342" s="18">
        <v>30</v>
      </c>
      <c r="I342" s="18" t="s">
        <v>363</v>
      </c>
    </row>
    <row r="343" spans="1:9" ht="18" customHeight="1" x14ac:dyDescent="0.2">
      <c r="A343" s="18" t="s">
        <v>44</v>
      </c>
      <c r="B343" s="19" t="s">
        <v>389</v>
      </c>
      <c r="C343" s="20" t="s">
        <v>415</v>
      </c>
      <c r="D343" s="21" t="s">
        <v>77</v>
      </c>
      <c r="E343" s="104"/>
      <c r="F343" s="18">
        <v>341108</v>
      </c>
      <c r="G343" s="19" t="s">
        <v>422</v>
      </c>
      <c r="H343" s="18">
        <v>30</v>
      </c>
      <c r="I343" s="18" t="s">
        <v>363</v>
      </c>
    </row>
    <row r="344" spans="1:9" ht="18" customHeight="1" x14ac:dyDescent="0.2">
      <c r="A344" s="18" t="s">
        <v>44</v>
      </c>
      <c r="B344" s="19" t="s">
        <v>389</v>
      </c>
      <c r="C344" s="20" t="s">
        <v>415</v>
      </c>
      <c r="D344" s="21" t="s">
        <v>77</v>
      </c>
      <c r="E344" s="105"/>
      <c r="F344" s="18">
        <v>341110</v>
      </c>
      <c r="G344" s="19" t="s">
        <v>423</v>
      </c>
      <c r="H344" s="18">
        <v>12</v>
      </c>
      <c r="I344" s="18" t="s">
        <v>363</v>
      </c>
    </row>
    <row r="345" spans="1:9" ht="15.75" customHeight="1" x14ac:dyDescent="0.2">
      <c r="A345" s="18" t="s">
        <v>44</v>
      </c>
      <c r="B345" s="19" t="s">
        <v>389</v>
      </c>
      <c r="C345" s="20" t="s">
        <v>415</v>
      </c>
      <c r="D345" s="21" t="s">
        <v>77</v>
      </c>
      <c r="E345" s="103" t="e" vm="59">
        <v>#VALUE!</v>
      </c>
      <c r="F345" s="18">
        <v>341405</v>
      </c>
      <c r="G345" s="19" t="s">
        <v>424</v>
      </c>
      <c r="H345" s="18">
        <v>30</v>
      </c>
      <c r="I345" s="18" t="s">
        <v>363</v>
      </c>
    </row>
    <row r="346" spans="1:9" ht="15.75" customHeight="1" x14ac:dyDescent="0.2">
      <c r="A346" s="18" t="s">
        <v>44</v>
      </c>
      <c r="B346" s="19" t="s">
        <v>389</v>
      </c>
      <c r="C346" s="20" t="s">
        <v>415</v>
      </c>
      <c r="D346" s="21" t="s">
        <v>77</v>
      </c>
      <c r="E346" s="104"/>
      <c r="F346" s="18">
        <v>341406</v>
      </c>
      <c r="G346" s="19" t="s">
        <v>425</v>
      </c>
      <c r="H346" s="18">
        <v>24</v>
      </c>
      <c r="I346" s="18" t="s">
        <v>363</v>
      </c>
    </row>
    <row r="347" spans="1:9" ht="15.75" customHeight="1" x14ac:dyDescent="0.2">
      <c r="A347" s="18" t="s">
        <v>44</v>
      </c>
      <c r="B347" s="19" t="s">
        <v>389</v>
      </c>
      <c r="C347" s="20" t="s">
        <v>415</v>
      </c>
      <c r="D347" s="21" t="s">
        <v>77</v>
      </c>
      <c r="E347" s="104"/>
      <c r="F347" s="18">
        <v>341408</v>
      </c>
      <c r="G347" s="19" t="s">
        <v>426</v>
      </c>
      <c r="H347" s="18">
        <v>20</v>
      </c>
      <c r="I347" s="18" t="s">
        <v>363</v>
      </c>
    </row>
    <row r="348" spans="1:9" ht="15.75" customHeight="1" x14ac:dyDescent="0.2">
      <c r="A348" s="18" t="s">
        <v>44</v>
      </c>
      <c r="B348" s="19" t="s">
        <v>389</v>
      </c>
      <c r="C348" s="20" t="s">
        <v>415</v>
      </c>
      <c r="D348" s="21" t="s">
        <v>77</v>
      </c>
      <c r="E348" s="105"/>
      <c r="F348" s="18">
        <v>341410</v>
      </c>
      <c r="G348" s="19" t="s">
        <v>427</v>
      </c>
      <c r="H348" s="18">
        <v>10</v>
      </c>
      <c r="I348" s="18" t="s">
        <v>363</v>
      </c>
    </row>
    <row r="349" spans="1:9" ht="15.75" customHeight="1" x14ac:dyDescent="0.2">
      <c r="A349" s="18" t="s">
        <v>44</v>
      </c>
      <c r="B349" s="19" t="s">
        <v>389</v>
      </c>
      <c r="C349" s="20" t="s">
        <v>415</v>
      </c>
      <c r="D349" s="21" t="s">
        <v>77</v>
      </c>
      <c r="E349" s="103" t="e" vm="60">
        <v>#VALUE!</v>
      </c>
      <c r="F349" s="18">
        <v>341005</v>
      </c>
      <c r="G349" s="19" t="s">
        <v>428</v>
      </c>
      <c r="H349" s="18">
        <v>50</v>
      </c>
      <c r="I349" s="18" t="s">
        <v>363</v>
      </c>
    </row>
    <row r="350" spans="1:9" ht="15.75" customHeight="1" x14ac:dyDescent="0.2">
      <c r="A350" s="18" t="s">
        <v>44</v>
      </c>
      <c r="B350" s="19" t="s">
        <v>389</v>
      </c>
      <c r="C350" s="20" t="s">
        <v>415</v>
      </c>
      <c r="D350" s="21" t="s">
        <v>77</v>
      </c>
      <c r="E350" s="104"/>
      <c r="F350" s="18">
        <v>341006</v>
      </c>
      <c r="G350" s="19" t="s">
        <v>429</v>
      </c>
      <c r="H350" s="18">
        <v>30</v>
      </c>
      <c r="I350" s="18" t="s">
        <v>363</v>
      </c>
    </row>
    <row r="351" spans="1:9" ht="15.75" customHeight="1" x14ac:dyDescent="0.2">
      <c r="A351" s="18" t="s">
        <v>44</v>
      </c>
      <c r="B351" s="19" t="s">
        <v>389</v>
      </c>
      <c r="C351" s="20" t="s">
        <v>415</v>
      </c>
      <c r="D351" s="21" t="s">
        <v>77</v>
      </c>
      <c r="E351" s="104"/>
      <c r="F351" s="18">
        <v>341008</v>
      </c>
      <c r="G351" s="19" t="s">
        <v>430</v>
      </c>
      <c r="H351" s="18">
        <v>20</v>
      </c>
      <c r="I351" s="18" t="s">
        <v>363</v>
      </c>
    </row>
    <row r="352" spans="1:9" ht="15.75" customHeight="1" x14ac:dyDescent="0.2">
      <c r="A352" s="18" t="s">
        <v>44</v>
      </c>
      <c r="B352" s="19" t="s">
        <v>389</v>
      </c>
      <c r="C352" s="20" t="s">
        <v>415</v>
      </c>
      <c r="D352" s="21" t="s">
        <v>77</v>
      </c>
      <c r="E352" s="105"/>
      <c r="F352" s="18">
        <v>341010</v>
      </c>
      <c r="G352" s="19" t="s">
        <v>431</v>
      </c>
      <c r="H352" s="18">
        <v>12</v>
      </c>
      <c r="I352" s="18" t="s">
        <v>363</v>
      </c>
    </row>
    <row r="353" spans="1:9" ht="15.75" customHeight="1" x14ac:dyDescent="0.2">
      <c r="A353" s="18" t="s">
        <v>44</v>
      </c>
      <c r="B353" s="19" t="s">
        <v>389</v>
      </c>
      <c r="C353" s="20" t="s">
        <v>415</v>
      </c>
      <c r="D353" s="21" t="s">
        <v>77</v>
      </c>
      <c r="E353" s="103" t="e" vm="61">
        <v>#VALUE!</v>
      </c>
      <c r="F353" s="18">
        <v>341505</v>
      </c>
      <c r="G353" s="19" t="s">
        <v>432</v>
      </c>
      <c r="H353" s="18">
        <v>20</v>
      </c>
      <c r="I353" s="18" t="s">
        <v>363</v>
      </c>
    </row>
    <row r="354" spans="1:9" ht="15.75" customHeight="1" x14ac:dyDescent="0.2">
      <c r="A354" s="18" t="s">
        <v>44</v>
      </c>
      <c r="B354" s="19" t="s">
        <v>389</v>
      </c>
      <c r="C354" s="20" t="s">
        <v>415</v>
      </c>
      <c r="D354" s="21" t="s">
        <v>77</v>
      </c>
      <c r="E354" s="104"/>
      <c r="F354" s="18">
        <v>341506</v>
      </c>
      <c r="G354" s="19" t="s">
        <v>433</v>
      </c>
      <c r="H354" s="18">
        <v>20</v>
      </c>
      <c r="I354" s="18" t="s">
        <v>363</v>
      </c>
    </row>
    <row r="355" spans="1:9" ht="15.75" customHeight="1" x14ac:dyDescent="0.2">
      <c r="A355" s="18" t="s">
        <v>44</v>
      </c>
      <c r="B355" s="19" t="s">
        <v>389</v>
      </c>
      <c r="C355" s="20" t="s">
        <v>415</v>
      </c>
      <c r="D355" s="21" t="s">
        <v>77</v>
      </c>
      <c r="E355" s="104"/>
      <c r="F355" s="18">
        <v>341508</v>
      </c>
      <c r="G355" s="19" t="s">
        <v>434</v>
      </c>
      <c r="H355" s="18">
        <v>10</v>
      </c>
      <c r="I355" s="18" t="s">
        <v>363</v>
      </c>
    </row>
    <row r="356" spans="1:9" ht="15.75" customHeight="1" x14ac:dyDescent="0.2">
      <c r="A356" s="18" t="s">
        <v>44</v>
      </c>
      <c r="B356" s="19" t="s">
        <v>389</v>
      </c>
      <c r="C356" s="20" t="s">
        <v>415</v>
      </c>
      <c r="D356" s="21" t="s">
        <v>77</v>
      </c>
      <c r="E356" s="105"/>
      <c r="F356" s="18">
        <v>341510</v>
      </c>
      <c r="G356" s="19" t="s">
        <v>435</v>
      </c>
      <c r="H356" s="18">
        <v>6</v>
      </c>
      <c r="I356" s="18" t="s">
        <v>363</v>
      </c>
    </row>
    <row r="357" spans="1:9" ht="15.75" customHeight="1" x14ac:dyDescent="0.2">
      <c r="A357" s="18" t="s">
        <v>44</v>
      </c>
      <c r="B357" s="19" t="s">
        <v>389</v>
      </c>
      <c r="C357" s="20" t="s">
        <v>415</v>
      </c>
      <c r="D357" s="21" t="s">
        <v>77</v>
      </c>
      <c r="E357" s="103" t="e" vm="62">
        <v>#VALUE!</v>
      </c>
      <c r="F357" s="18">
        <v>341305</v>
      </c>
      <c r="G357" s="19" t="s">
        <v>436</v>
      </c>
      <c r="H357" s="18">
        <v>18</v>
      </c>
      <c r="I357" s="18" t="s">
        <v>363</v>
      </c>
    </row>
    <row r="358" spans="1:9" ht="15.75" customHeight="1" x14ac:dyDescent="0.2">
      <c r="A358" s="18" t="s">
        <v>44</v>
      </c>
      <c r="B358" s="19" t="s">
        <v>389</v>
      </c>
      <c r="C358" s="20" t="s">
        <v>415</v>
      </c>
      <c r="D358" s="21" t="s">
        <v>77</v>
      </c>
      <c r="E358" s="104"/>
      <c r="F358" s="18">
        <v>341306</v>
      </c>
      <c r="G358" s="19" t="s">
        <v>437</v>
      </c>
      <c r="H358" s="18">
        <v>10</v>
      </c>
      <c r="I358" s="18" t="s">
        <v>363</v>
      </c>
    </row>
    <row r="359" spans="1:9" ht="15.75" customHeight="1" x14ac:dyDescent="0.2">
      <c r="A359" s="18" t="s">
        <v>44</v>
      </c>
      <c r="B359" s="19" t="s">
        <v>389</v>
      </c>
      <c r="C359" s="20" t="s">
        <v>415</v>
      </c>
      <c r="D359" s="21" t="s">
        <v>77</v>
      </c>
      <c r="E359" s="104"/>
      <c r="F359" s="18">
        <v>341308</v>
      </c>
      <c r="G359" s="19" t="s">
        <v>438</v>
      </c>
      <c r="H359" s="18">
        <v>9</v>
      </c>
      <c r="I359" s="18" t="s">
        <v>363</v>
      </c>
    </row>
    <row r="360" spans="1:9" ht="15.75" customHeight="1" x14ac:dyDescent="0.2">
      <c r="A360" s="18" t="s">
        <v>44</v>
      </c>
      <c r="B360" s="19" t="s">
        <v>389</v>
      </c>
      <c r="C360" s="20" t="s">
        <v>415</v>
      </c>
      <c r="D360" s="21" t="s">
        <v>77</v>
      </c>
      <c r="E360" s="105"/>
      <c r="F360" s="18">
        <v>341310</v>
      </c>
      <c r="G360" s="19" t="s">
        <v>439</v>
      </c>
      <c r="H360" s="18">
        <v>6</v>
      </c>
      <c r="I360" s="18" t="s">
        <v>363</v>
      </c>
    </row>
    <row r="361" spans="1:9" ht="15.75" customHeight="1" x14ac:dyDescent="0.2">
      <c r="A361" s="18" t="s">
        <v>44</v>
      </c>
      <c r="B361" s="19" t="s">
        <v>389</v>
      </c>
      <c r="C361" s="20" t="s">
        <v>415</v>
      </c>
      <c r="D361" s="21" t="s">
        <v>77</v>
      </c>
      <c r="E361" s="103" t="e" vm="63">
        <v>#VALUE!</v>
      </c>
      <c r="F361" s="18">
        <v>41312</v>
      </c>
      <c r="G361" s="19" t="s">
        <v>440</v>
      </c>
      <c r="H361" s="18">
        <v>18</v>
      </c>
      <c r="I361" s="18" t="s">
        <v>363</v>
      </c>
    </row>
    <row r="362" spans="1:9" ht="15.75" customHeight="1" x14ac:dyDescent="0.2">
      <c r="A362" s="18" t="s">
        <v>44</v>
      </c>
      <c r="B362" s="19" t="s">
        <v>389</v>
      </c>
      <c r="C362" s="20" t="s">
        <v>415</v>
      </c>
      <c r="D362" s="21" t="s">
        <v>77</v>
      </c>
      <c r="E362" s="104"/>
      <c r="F362" s="18">
        <v>341313</v>
      </c>
      <c r="G362" s="19" t="s">
        <v>441</v>
      </c>
      <c r="H362" s="18">
        <v>24</v>
      </c>
      <c r="I362" s="18" t="s">
        <v>363</v>
      </c>
    </row>
    <row r="363" spans="1:9" ht="15.75" customHeight="1" x14ac:dyDescent="0.2">
      <c r="A363" s="18" t="s">
        <v>44</v>
      </c>
      <c r="B363" s="19" t="s">
        <v>389</v>
      </c>
      <c r="C363" s="20" t="s">
        <v>415</v>
      </c>
      <c r="D363" s="21" t="s">
        <v>77</v>
      </c>
      <c r="E363" s="104"/>
      <c r="F363" s="18">
        <v>341314</v>
      </c>
      <c r="G363" s="19" t="s">
        <v>442</v>
      </c>
      <c r="H363" s="18">
        <v>18</v>
      </c>
      <c r="I363" s="18" t="s">
        <v>363</v>
      </c>
    </row>
    <row r="364" spans="1:9" ht="15.75" customHeight="1" x14ac:dyDescent="0.2">
      <c r="A364" s="18" t="s">
        <v>44</v>
      </c>
      <c r="B364" s="19" t="s">
        <v>389</v>
      </c>
      <c r="C364" s="20" t="s">
        <v>415</v>
      </c>
      <c r="D364" s="21" t="s">
        <v>77</v>
      </c>
      <c r="E364" s="104"/>
      <c r="F364" s="18">
        <v>341315</v>
      </c>
      <c r="G364" s="19" t="s">
        <v>443</v>
      </c>
      <c r="H364" s="18">
        <v>9</v>
      </c>
      <c r="I364" s="18" t="s">
        <v>363</v>
      </c>
    </row>
    <row r="365" spans="1:9" ht="15.75" customHeight="1" x14ac:dyDescent="0.2">
      <c r="A365" s="18" t="s">
        <v>44</v>
      </c>
      <c r="B365" s="19" t="s">
        <v>389</v>
      </c>
      <c r="C365" s="20" t="s">
        <v>415</v>
      </c>
      <c r="D365" s="21" t="s">
        <v>77</v>
      </c>
      <c r="E365" s="105"/>
      <c r="F365" s="18">
        <v>341316</v>
      </c>
      <c r="G365" s="19" t="s">
        <v>444</v>
      </c>
      <c r="H365" s="18">
        <v>9</v>
      </c>
      <c r="I365" s="18" t="s">
        <v>363</v>
      </c>
    </row>
    <row r="366" spans="1:9" ht="33" customHeight="1" x14ac:dyDescent="0.2">
      <c r="A366" s="18" t="s">
        <v>44</v>
      </c>
      <c r="B366" s="19" t="s">
        <v>389</v>
      </c>
      <c r="C366" s="20" t="s">
        <v>415</v>
      </c>
      <c r="D366" s="21" t="s">
        <v>77</v>
      </c>
      <c r="E366" s="103" t="e" vm="64">
        <v>#VALUE!</v>
      </c>
      <c r="F366" s="18">
        <v>41608</v>
      </c>
      <c r="G366" s="19" t="s">
        <v>445</v>
      </c>
      <c r="H366" s="18">
        <v>1</v>
      </c>
      <c r="I366" s="18" t="s">
        <v>363</v>
      </c>
    </row>
    <row r="367" spans="1:9" ht="33" customHeight="1" x14ac:dyDescent="0.2">
      <c r="A367" s="18" t="s">
        <v>44</v>
      </c>
      <c r="B367" s="19" t="s">
        <v>389</v>
      </c>
      <c r="C367" s="20" t="s">
        <v>415</v>
      </c>
      <c r="D367" s="21" t="s">
        <v>77</v>
      </c>
      <c r="E367" s="105"/>
      <c r="F367" s="18">
        <v>41610</v>
      </c>
      <c r="G367" s="19" t="s">
        <v>446</v>
      </c>
      <c r="H367" s="18">
        <v>1</v>
      </c>
      <c r="I367" s="18" t="s">
        <v>363</v>
      </c>
    </row>
    <row r="368" spans="1:9" ht="16.5" customHeight="1" x14ac:dyDescent="0.2">
      <c r="A368" s="18" t="s">
        <v>44</v>
      </c>
      <c r="B368" s="19" t="s">
        <v>389</v>
      </c>
      <c r="C368" s="20" t="s">
        <v>415</v>
      </c>
      <c r="D368" s="21" t="s">
        <v>77</v>
      </c>
      <c r="E368" s="103" t="e" vm="65">
        <v>#VALUE!</v>
      </c>
      <c r="F368" s="18">
        <v>341705</v>
      </c>
      <c r="G368" s="19" t="s">
        <v>447</v>
      </c>
      <c r="H368" s="18">
        <v>18</v>
      </c>
      <c r="I368" s="18" t="s">
        <v>363</v>
      </c>
    </row>
    <row r="369" spans="1:9" ht="16.5" customHeight="1" x14ac:dyDescent="0.2">
      <c r="A369" s="18" t="s">
        <v>44</v>
      </c>
      <c r="B369" s="19" t="s">
        <v>389</v>
      </c>
      <c r="C369" s="20" t="s">
        <v>415</v>
      </c>
      <c r="D369" s="21" t="s">
        <v>77</v>
      </c>
      <c r="E369" s="104"/>
      <c r="F369" s="18">
        <v>341706</v>
      </c>
      <c r="G369" s="19" t="s">
        <v>448</v>
      </c>
      <c r="H369" s="18">
        <v>18</v>
      </c>
      <c r="I369" s="18" t="s">
        <v>363</v>
      </c>
    </row>
    <row r="370" spans="1:9" ht="16.5" customHeight="1" x14ac:dyDescent="0.2">
      <c r="A370" s="18" t="s">
        <v>44</v>
      </c>
      <c r="B370" s="19" t="s">
        <v>389</v>
      </c>
      <c r="C370" s="20" t="s">
        <v>415</v>
      </c>
      <c r="D370" s="21" t="s">
        <v>77</v>
      </c>
      <c r="E370" s="104"/>
      <c r="F370" s="18">
        <v>341708</v>
      </c>
      <c r="G370" s="19" t="s">
        <v>449</v>
      </c>
      <c r="H370" s="18">
        <v>12</v>
      </c>
      <c r="I370" s="18" t="s">
        <v>363</v>
      </c>
    </row>
    <row r="371" spans="1:9" ht="16.5" customHeight="1" x14ac:dyDescent="0.2">
      <c r="A371" s="18" t="s">
        <v>44</v>
      </c>
      <c r="B371" s="19" t="s">
        <v>389</v>
      </c>
      <c r="C371" s="20" t="s">
        <v>415</v>
      </c>
      <c r="D371" s="21" t="s">
        <v>77</v>
      </c>
      <c r="E371" s="105"/>
      <c r="F371" s="18">
        <v>341710</v>
      </c>
      <c r="G371" s="19" t="s">
        <v>450</v>
      </c>
      <c r="H371" s="18">
        <v>10</v>
      </c>
      <c r="I371" s="18" t="s">
        <v>363</v>
      </c>
    </row>
    <row r="372" spans="1:9" ht="15.75" customHeight="1" x14ac:dyDescent="0.2">
      <c r="A372" s="18" t="s">
        <v>44</v>
      </c>
      <c r="B372" s="19" t="s">
        <v>389</v>
      </c>
      <c r="C372" s="20" t="s">
        <v>415</v>
      </c>
      <c r="D372" s="21" t="s">
        <v>77</v>
      </c>
      <c r="E372" s="103" t="e" vm="66">
        <v>#VALUE!</v>
      </c>
      <c r="F372" s="18">
        <v>41712</v>
      </c>
      <c r="G372" s="19" t="s">
        <v>451</v>
      </c>
      <c r="H372" s="18">
        <v>15</v>
      </c>
      <c r="I372" s="18" t="s">
        <v>363</v>
      </c>
    </row>
    <row r="373" spans="1:9" ht="15.75" customHeight="1" x14ac:dyDescent="0.2">
      <c r="A373" s="18" t="s">
        <v>44</v>
      </c>
      <c r="B373" s="19" t="s">
        <v>389</v>
      </c>
      <c r="C373" s="20" t="s">
        <v>415</v>
      </c>
      <c r="D373" s="21" t="s">
        <v>77</v>
      </c>
      <c r="E373" s="104"/>
      <c r="F373" s="18">
        <v>341713</v>
      </c>
      <c r="G373" s="19" t="s">
        <v>452</v>
      </c>
      <c r="H373" s="18">
        <v>15</v>
      </c>
      <c r="I373" s="18" t="s">
        <v>363</v>
      </c>
    </row>
    <row r="374" spans="1:9" ht="15.75" customHeight="1" x14ac:dyDescent="0.2">
      <c r="A374" s="18" t="s">
        <v>44</v>
      </c>
      <c r="B374" s="19" t="s">
        <v>389</v>
      </c>
      <c r="C374" s="20" t="s">
        <v>415</v>
      </c>
      <c r="D374" s="21" t="s">
        <v>77</v>
      </c>
      <c r="E374" s="104"/>
      <c r="F374" s="18">
        <v>341714</v>
      </c>
      <c r="G374" s="19" t="s">
        <v>453</v>
      </c>
      <c r="H374" s="18">
        <v>15</v>
      </c>
      <c r="I374" s="18" t="s">
        <v>363</v>
      </c>
    </row>
    <row r="375" spans="1:9" ht="15.75" customHeight="1" x14ac:dyDescent="0.2">
      <c r="A375" s="18" t="s">
        <v>44</v>
      </c>
      <c r="B375" s="19" t="s">
        <v>389</v>
      </c>
      <c r="C375" s="20" t="s">
        <v>415</v>
      </c>
      <c r="D375" s="21" t="s">
        <v>77</v>
      </c>
      <c r="E375" s="104"/>
      <c r="F375" s="18">
        <v>341715</v>
      </c>
      <c r="G375" s="19" t="s">
        <v>454</v>
      </c>
      <c r="H375" s="18">
        <v>15</v>
      </c>
      <c r="I375" s="18" t="s">
        <v>363</v>
      </c>
    </row>
    <row r="376" spans="1:9" ht="15.75" customHeight="1" x14ac:dyDescent="0.2">
      <c r="A376" s="18" t="s">
        <v>44</v>
      </c>
      <c r="B376" s="19" t="s">
        <v>389</v>
      </c>
      <c r="C376" s="20" t="s">
        <v>415</v>
      </c>
      <c r="D376" s="21" t="s">
        <v>77</v>
      </c>
      <c r="E376" s="105"/>
      <c r="F376" s="18">
        <v>341716</v>
      </c>
      <c r="G376" s="19" t="s">
        <v>455</v>
      </c>
      <c r="H376" s="18">
        <v>10</v>
      </c>
      <c r="I376" s="18" t="s">
        <v>363</v>
      </c>
    </row>
    <row r="377" spans="1:9" ht="18.75" customHeight="1" x14ac:dyDescent="0.2">
      <c r="A377" s="18" t="s">
        <v>44</v>
      </c>
      <c r="B377" s="19" t="s">
        <v>389</v>
      </c>
      <c r="C377" s="20" t="s">
        <v>415</v>
      </c>
      <c r="D377" s="21" t="s">
        <v>77</v>
      </c>
      <c r="E377" s="103" t="e" vm="67">
        <v>#VALUE!</v>
      </c>
      <c r="F377" s="18">
        <v>41805</v>
      </c>
      <c r="G377" s="19" t="s">
        <v>456</v>
      </c>
      <c r="H377" s="18">
        <v>10</v>
      </c>
      <c r="I377" s="18" t="s">
        <v>48</v>
      </c>
    </row>
    <row r="378" spans="1:9" ht="18.75" customHeight="1" x14ac:dyDescent="0.2">
      <c r="A378" s="18" t="s">
        <v>44</v>
      </c>
      <c r="B378" s="19" t="s">
        <v>389</v>
      </c>
      <c r="C378" s="20" t="s">
        <v>415</v>
      </c>
      <c r="D378" s="21" t="s">
        <v>77</v>
      </c>
      <c r="E378" s="104"/>
      <c r="F378" s="18">
        <v>41806</v>
      </c>
      <c r="G378" s="19" t="s">
        <v>457</v>
      </c>
      <c r="H378" s="18">
        <v>10</v>
      </c>
      <c r="I378" s="18" t="s">
        <v>48</v>
      </c>
    </row>
    <row r="379" spans="1:9" ht="18.75" customHeight="1" x14ac:dyDescent="0.2">
      <c r="A379" s="18" t="s">
        <v>44</v>
      </c>
      <c r="B379" s="19" t="s">
        <v>389</v>
      </c>
      <c r="C379" s="20" t="s">
        <v>415</v>
      </c>
      <c r="D379" s="21" t="s">
        <v>77</v>
      </c>
      <c r="E379" s="104"/>
      <c r="F379" s="18">
        <v>41808</v>
      </c>
      <c r="G379" s="19" t="s">
        <v>458</v>
      </c>
      <c r="H379" s="18">
        <v>10</v>
      </c>
      <c r="I379" s="18" t="s">
        <v>48</v>
      </c>
    </row>
    <row r="380" spans="1:9" ht="18.75" customHeight="1" x14ac:dyDescent="0.2">
      <c r="A380" s="18" t="s">
        <v>44</v>
      </c>
      <c r="B380" s="19" t="s">
        <v>389</v>
      </c>
      <c r="C380" s="20" t="s">
        <v>415</v>
      </c>
      <c r="D380" s="21" t="s">
        <v>77</v>
      </c>
      <c r="E380" s="105"/>
      <c r="F380" s="18">
        <v>41810</v>
      </c>
      <c r="G380" s="19" t="s">
        <v>459</v>
      </c>
      <c r="H380" s="18">
        <v>10</v>
      </c>
      <c r="I380" s="18" t="s">
        <v>48</v>
      </c>
    </row>
    <row r="381" spans="1:9" ht="51.75" customHeight="1" x14ac:dyDescent="0.2">
      <c r="A381" s="18" t="s">
        <v>44</v>
      </c>
      <c r="B381" s="19" t="s">
        <v>389</v>
      </c>
      <c r="C381" s="20" t="s">
        <v>460</v>
      </c>
      <c r="D381" s="21" t="s">
        <v>461</v>
      </c>
      <c r="E381" s="76" t="e" vm="68">
        <v>#VALUE!</v>
      </c>
      <c r="F381" s="18">
        <v>41901</v>
      </c>
      <c r="G381" s="19" t="s">
        <v>462</v>
      </c>
      <c r="H381" s="18">
        <v>4</v>
      </c>
      <c r="I381" s="18" t="s">
        <v>146</v>
      </c>
    </row>
    <row r="382" spans="1:9" ht="51.75" customHeight="1" x14ac:dyDescent="0.2">
      <c r="A382" s="18" t="s">
        <v>44</v>
      </c>
      <c r="B382" s="19" t="s">
        <v>389</v>
      </c>
      <c r="C382" s="20" t="s">
        <v>460</v>
      </c>
      <c r="D382" s="21" t="s">
        <v>461</v>
      </c>
      <c r="E382" s="23" t="e" vm="69">
        <v>#VALUE!</v>
      </c>
      <c r="F382" s="18">
        <v>41902</v>
      </c>
      <c r="G382" s="19" t="s">
        <v>463</v>
      </c>
      <c r="H382" s="18">
        <v>4</v>
      </c>
      <c r="I382" s="18" t="s">
        <v>146</v>
      </c>
    </row>
    <row r="383" spans="1:9" ht="51.75" customHeight="1" x14ac:dyDescent="0.2">
      <c r="A383" s="18" t="s">
        <v>44</v>
      </c>
      <c r="B383" s="19" t="s">
        <v>389</v>
      </c>
      <c r="C383" s="20" t="s">
        <v>460</v>
      </c>
      <c r="D383" s="21" t="s">
        <v>461</v>
      </c>
      <c r="E383" s="23" t="e" vm="70">
        <v>#VALUE!</v>
      </c>
      <c r="F383" s="18">
        <v>41903</v>
      </c>
      <c r="G383" s="19" t="s">
        <v>464</v>
      </c>
      <c r="H383" s="18">
        <v>10</v>
      </c>
      <c r="I383" s="18" t="s">
        <v>48</v>
      </c>
    </row>
    <row r="384" spans="1:9" ht="14.25" customHeight="1" x14ac:dyDescent="0.2">
      <c r="A384" s="18" t="s">
        <v>44</v>
      </c>
      <c r="B384" s="19" t="s">
        <v>465</v>
      </c>
      <c r="C384" s="19" t="s">
        <v>466</v>
      </c>
      <c r="D384" s="21" t="s">
        <v>46</v>
      </c>
      <c r="E384" s="107" t="e" vm="71">
        <v>#VALUE!</v>
      </c>
      <c r="F384" s="34">
        <v>13305</v>
      </c>
      <c r="G384" s="19" t="s">
        <v>467</v>
      </c>
      <c r="H384" s="18">
        <v>1</v>
      </c>
      <c r="I384" s="18" t="s">
        <v>146</v>
      </c>
    </row>
    <row r="385" spans="1:9" ht="14.25" customHeight="1" x14ac:dyDescent="0.2">
      <c r="A385" s="18" t="s">
        <v>44</v>
      </c>
      <c r="B385" s="19" t="s">
        <v>465</v>
      </c>
      <c r="C385" s="19" t="s">
        <v>466</v>
      </c>
      <c r="D385" s="21" t="s">
        <v>46</v>
      </c>
      <c r="E385" s="108"/>
      <c r="F385" s="34">
        <v>13306</v>
      </c>
      <c r="G385" s="19" t="s">
        <v>468</v>
      </c>
      <c r="H385" s="18">
        <v>1</v>
      </c>
      <c r="I385" s="18" t="s">
        <v>146</v>
      </c>
    </row>
    <row r="386" spans="1:9" ht="14.25" customHeight="1" x14ac:dyDescent="0.2">
      <c r="A386" s="18" t="s">
        <v>44</v>
      </c>
      <c r="B386" s="19" t="s">
        <v>465</v>
      </c>
      <c r="C386" s="19" t="s">
        <v>466</v>
      </c>
      <c r="D386" s="21" t="s">
        <v>46</v>
      </c>
      <c r="E386" s="108"/>
      <c r="F386" s="34">
        <v>13308</v>
      </c>
      <c r="G386" s="19" t="s">
        <v>469</v>
      </c>
      <c r="H386" s="18">
        <v>1</v>
      </c>
      <c r="I386" s="18" t="s">
        <v>146</v>
      </c>
    </row>
    <row r="387" spans="1:9" ht="14.25" customHeight="1" x14ac:dyDescent="0.2">
      <c r="A387" s="18" t="s">
        <v>44</v>
      </c>
      <c r="B387" s="19" t="s">
        <v>465</v>
      </c>
      <c r="C387" s="19" t="s">
        <v>466</v>
      </c>
      <c r="D387" s="21" t="s">
        <v>46</v>
      </c>
      <c r="E387" s="108"/>
      <c r="F387" s="34">
        <v>13310</v>
      </c>
      <c r="G387" s="19" t="s">
        <v>470</v>
      </c>
      <c r="H387" s="18">
        <v>1</v>
      </c>
      <c r="I387" s="18" t="s">
        <v>146</v>
      </c>
    </row>
    <row r="388" spans="1:9" ht="14.25" customHeight="1" x14ac:dyDescent="0.2">
      <c r="A388" s="18" t="s">
        <v>44</v>
      </c>
      <c r="B388" s="19" t="s">
        <v>465</v>
      </c>
      <c r="C388" s="19" t="s">
        <v>466</v>
      </c>
      <c r="D388" s="21" t="s">
        <v>46</v>
      </c>
      <c r="E388" s="108"/>
      <c r="F388" s="18">
        <v>13405</v>
      </c>
      <c r="G388" s="19" t="s">
        <v>471</v>
      </c>
      <c r="H388" s="18">
        <v>1</v>
      </c>
      <c r="I388" s="18" t="s">
        <v>146</v>
      </c>
    </row>
    <row r="389" spans="1:9" ht="14.25" customHeight="1" x14ac:dyDescent="0.2">
      <c r="A389" s="18" t="s">
        <v>44</v>
      </c>
      <c r="B389" s="19" t="s">
        <v>465</v>
      </c>
      <c r="C389" s="19" t="s">
        <v>466</v>
      </c>
      <c r="D389" s="21" t="s">
        <v>46</v>
      </c>
      <c r="E389" s="108"/>
      <c r="F389" s="18">
        <v>13406</v>
      </c>
      <c r="G389" s="19" t="s">
        <v>472</v>
      </c>
      <c r="H389" s="18">
        <v>1</v>
      </c>
      <c r="I389" s="18" t="s">
        <v>146</v>
      </c>
    </row>
    <row r="390" spans="1:9" ht="14.25" customHeight="1" x14ac:dyDescent="0.2">
      <c r="A390" s="18" t="s">
        <v>44</v>
      </c>
      <c r="B390" s="19" t="s">
        <v>465</v>
      </c>
      <c r="C390" s="19" t="s">
        <v>466</v>
      </c>
      <c r="D390" s="21" t="s">
        <v>46</v>
      </c>
      <c r="E390" s="108"/>
      <c r="F390" s="18">
        <v>13408</v>
      </c>
      <c r="G390" s="19" t="s">
        <v>473</v>
      </c>
      <c r="H390" s="18">
        <v>1</v>
      </c>
      <c r="I390" s="18" t="s">
        <v>146</v>
      </c>
    </row>
    <row r="391" spans="1:9" ht="14.25" customHeight="1" x14ac:dyDescent="0.2">
      <c r="A391" s="18" t="s">
        <v>44</v>
      </c>
      <c r="B391" s="19" t="s">
        <v>465</v>
      </c>
      <c r="C391" s="19" t="s">
        <v>466</v>
      </c>
      <c r="D391" s="21" t="s">
        <v>46</v>
      </c>
      <c r="E391" s="108"/>
      <c r="F391" s="18">
        <v>13410</v>
      </c>
      <c r="G391" s="19" t="s">
        <v>474</v>
      </c>
      <c r="H391" s="18">
        <v>1</v>
      </c>
      <c r="I391" s="18" t="s">
        <v>146</v>
      </c>
    </row>
    <row r="392" spans="1:9" ht="14.25" customHeight="1" x14ac:dyDescent="0.2">
      <c r="A392" s="18" t="s">
        <v>44</v>
      </c>
      <c r="B392" s="19" t="s">
        <v>465</v>
      </c>
      <c r="C392" s="19" t="s">
        <v>466</v>
      </c>
      <c r="D392" s="21" t="s">
        <v>46</v>
      </c>
      <c r="E392" s="108"/>
      <c r="F392" s="18">
        <v>13505</v>
      </c>
      <c r="G392" s="19" t="s">
        <v>475</v>
      </c>
      <c r="H392" s="18">
        <v>1</v>
      </c>
      <c r="I392" s="18" t="s">
        <v>146</v>
      </c>
    </row>
    <row r="393" spans="1:9" ht="14.25" customHeight="1" x14ac:dyDescent="0.2">
      <c r="A393" s="18" t="s">
        <v>44</v>
      </c>
      <c r="B393" s="19" t="s">
        <v>465</v>
      </c>
      <c r="C393" s="19" t="s">
        <v>466</v>
      </c>
      <c r="D393" s="21" t="s">
        <v>46</v>
      </c>
      <c r="E393" s="108"/>
      <c r="F393" s="18">
        <v>13506</v>
      </c>
      <c r="G393" s="19" t="s">
        <v>476</v>
      </c>
      <c r="H393" s="18">
        <v>1</v>
      </c>
      <c r="I393" s="18" t="s">
        <v>146</v>
      </c>
    </row>
    <row r="394" spans="1:9" ht="14.25" customHeight="1" x14ac:dyDescent="0.2">
      <c r="A394" s="18" t="s">
        <v>44</v>
      </c>
      <c r="B394" s="19" t="s">
        <v>465</v>
      </c>
      <c r="C394" s="19" t="s">
        <v>466</v>
      </c>
      <c r="D394" s="21" t="s">
        <v>46</v>
      </c>
      <c r="E394" s="108"/>
      <c r="F394" s="18">
        <v>13508</v>
      </c>
      <c r="G394" s="19" t="s">
        <v>477</v>
      </c>
      <c r="H394" s="18">
        <v>1</v>
      </c>
      <c r="I394" s="18" t="s">
        <v>146</v>
      </c>
    </row>
    <row r="395" spans="1:9" ht="14.25" customHeight="1" x14ac:dyDescent="0.2">
      <c r="A395" s="18" t="s">
        <v>44</v>
      </c>
      <c r="B395" s="19" t="s">
        <v>465</v>
      </c>
      <c r="C395" s="19" t="s">
        <v>466</v>
      </c>
      <c r="D395" s="21" t="s">
        <v>46</v>
      </c>
      <c r="E395" s="108"/>
      <c r="F395" s="18">
        <v>13510</v>
      </c>
      <c r="G395" s="19" t="s">
        <v>478</v>
      </c>
      <c r="H395" s="18">
        <v>1</v>
      </c>
      <c r="I395" s="18" t="s">
        <v>146</v>
      </c>
    </row>
    <row r="396" spans="1:9" ht="15.75" customHeight="1" x14ac:dyDescent="0.2">
      <c r="A396" s="18" t="s">
        <v>44</v>
      </c>
      <c r="B396" s="19" t="s">
        <v>479</v>
      </c>
      <c r="C396" s="19" t="s">
        <v>480</v>
      </c>
      <c r="D396" s="18" t="s">
        <v>46</v>
      </c>
      <c r="E396" s="103" t="e" vm="72">
        <v>#VALUE!</v>
      </c>
      <c r="F396" s="18">
        <v>99101</v>
      </c>
      <c r="G396" s="19" t="s">
        <v>481</v>
      </c>
      <c r="H396" s="18">
        <v>1</v>
      </c>
      <c r="I396" s="18" t="s">
        <v>146</v>
      </c>
    </row>
    <row r="397" spans="1:9" ht="15.75" customHeight="1" x14ac:dyDescent="0.2">
      <c r="A397" s="18" t="s">
        <v>44</v>
      </c>
      <c r="B397" s="19" t="s">
        <v>479</v>
      </c>
      <c r="C397" s="19" t="s">
        <v>480</v>
      </c>
      <c r="D397" s="18" t="s">
        <v>46</v>
      </c>
      <c r="E397" s="104"/>
      <c r="F397" s="18">
        <v>99102</v>
      </c>
      <c r="G397" s="19" t="s">
        <v>482</v>
      </c>
      <c r="H397" s="18">
        <v>1</v>
      </c>
      <c r="I397" s="18" t="s">
        <v>146</v>
      </c>
    </row>
    <row r="398" spans="1:9" ht="15.75" customHeight="1" x14ac:dyDescent="0.2">
      <c r="A398" s="18" t="s">
        <v>44</v>
      </c>
      <c r="B398" s="19" t="s">
        <v>479</v>
      </c>
      <c r="C398" s="19" t="s">
        <v>480</v>
      </c>
      <c r="D398" s="18" t="s">
        <v>46</v>
      </c>
      <c r="E398" s="104"/>
      <c r="F398" s="18">
        <v>99103</v>
      </c>
      <c r="G398" s="19" t="s">
        <v>483</v>
      </c>
      <c r="H398" s="18">
        <v>1</v>
      </c>
      <c r="I398" s="18" t="s">
        <v>146</v>
      </c>
    </row>
    <row r="399" spans="1:9" ht="15.75" customHeight="1" x14ac:dyDescent="0.2">
      <c r="A399" s="18" t="s">
        <v>44</v>
      </c>
      <c r="B399" s="19" t="s">
        <v>479</v>
      </c>
      <c r="C399" s="19" t="s">
        <v>480</v>
      </c>
      <c r="D399" s="18" t="s">
        <v>46</v>
      </c>
      <c r="E399" s="104"/>
      <c r="F399" s="18">
        <v>99104</v>
      </c>
      <c r="G399" s="19" t="s">
        <v>484</v>
      </c>
      <c r="H399" s="18">
        <v>1</v>
      </c>
      <c r="I399" s="18" t="s">
        <v>146</v>
      </c>
    </row>
    <row r="400" spans="1:9" ht="15.75" customHeight="1" x14ac:dyDescent="0.2">
      <c r="A400" s="18" t="s">
        <v>44</v>
      </c>
      <c r="B400" s="19" t="s">
        <v>479</v>
      </c>
      <c r="C400" s="19" t="s">
        <v>480</v>
      </c>
      <c r="D400" s="18" t="s">
        <v>46</v>
      </c>
      <c r="E400" s="104"/>
      <c r="F400" s="18">
        <v>99105</v>
      </c>
      <c r="G400" s="19" t="s">
        <v>485</v>
      </c>
      <c r="H400" s="18">
        <v>1</v>
      </c>
      <c r="I400" s="18" t="s">
        <v>146</v>
      </c>
    </row>
    <row r="401" spans="1:9" ht="15.75" customHeight="1" x14ac:dyDescent="0.2">
      <c r="A401" s="18" t="s">
        <v>44</v>
      </c>
      <c r="B401" s="19" t="s">
        <v>479</v>
      </c>
      <c r="C401" s="19" t="s">
        <v>480</v>
      </c>
      <c r="D401" s="18" t="s">
        <v>46</v>
      </c>
      <c r="E401" s="104"/>
      <c r="F401" s="18">
        <v>99106</v>
      </c>
      <c r="G401" s="19" t="s">
        <v>486</v>
      </c>
      <c r="H401" s="18">
        <v>1</v>
      </c>
      <c r="I401" s="18" t="s">
        <v>146</v>
      </c>
    </row>
    <row r="402" spans="1:9" ht="15.75" customHeight="1" x14ac:dyDescent="0.2">
      <c r="A402" s="18" t="s">
        <v>44</v>
      </c>
      <c r="B402" s="19" t="s">
        <v>479</v>
      </c>
      <c r="C402" s="19" t="s">
        <v>480</v>
      </c>
      <c r="D402" s="18" t="s">
        <v>46</v>
      </c>
      <c r="E402" s="104"/>
      <c r="F402" s="18">
        <v>99107</v>
      </c>
      <c r="G402" s="19" t="s">
        <v>487</v>
      </c>
      <c r="H402" s="18">
        <v>1</v>
      </c>
      <c r="I402" s="18" t="s">
        <v>146</v>
      </c>
    </row>
    <row r="403" spans="1:9" ht="15.75" customHeight="1" x14ac:dyDescent="0.2">
      <c r="A403" s="18" t="s">
        <v>44</v>
      </c>
      <c r="B403" s="19" t="s">
        <v>479</v>
      </c>
      <c r="C403" s="19" t="s">
        <v>480</v>
      </c>
      <c r="D403" s="18" t="s">
        <v>46</v>
      </c>
      <c r="E403" s="104"/>
      <c r="F403" s="18">
        <v>99108</v>
      </c>
      <c r="G403" s="19" t="s">
        <v>488</v>
      </c>
      <c r="H403" s="18">
        <v>1</v>
      </c>
      <c r="I403" s="18" t="s">
        <v>146</v>
      </c>
    </row>
    <row r="404" spans="1:9" ht="15.75" customHeight="1" x14ac:dyDescent="0.2">
      <c r="A404" s="18" t="s">
        <v>44</v>
      </c>
      <c r="B404" s="19" t="s">
        <v>479</v>
      </c>
      <c r="C404" s="19" t="s">
        <v>480</v>
      </c>
      <c r="D404" s="18" t="s">
        <v>46</v>
      </c>
      <c r="E404" s="105"/>
      <c r="F404" s="18">
        <v>99110</v>
      </c>
      <c r="G404" s="19" t="s">
        <v>489</v>
      </c>
      <c r="H404" s="18">
        <v>1</v>
      </c>
      <c r="I404" s="18" t="s">
        <v>146</v>
      </c>
    </row>
    <row r="405" spans="1:9" ht="15.75" customHeight="1" x14ac:dyDescent="0.2">
      <c r="A405" s="18" t="s">
        <v>44</v>
      </c>
      <c r="B405" s="19" t="s">
        <v>490</v>
      </c>
      <c r="C405" s="20" t="s">
        <v>491</v>
      </c>
      <c r="D405" s="21" t="s">
        <v>46</v>
      </c>
      <c r="E405" s="103" t="e" vm="73">
        <v>#VALUE!</v>
      </c>
      <c r="F405" s="18" t="s">
        <v>492</v>
      </c>
      <c r="G405" s="19" t="s">
        <v>493</v>
      </c>
      <c r="H405" s="18">
        <v>1</v>
      </c>
      <c r="I405" s="18" t="s">
        <v>146</v>
      </c>
    </row>
    <row r="406" spans="1:9" ht="15.75" customHeight="1" x14ac:dyDescent="0.2">
      <c r="A406" s="18" t="s">
        <v>44</v>
      </c>
      <c r="B406" s="19" t="s">
        <v>490</v>
      </c>
      <c r="C406" s="20" t="s">
        <v>491</v>
      </c>
      <c r="D406" s="21" t="s">
        <v>46</v>
      </c>
      <c r="E406" s="104"/>
      <c r="F406" s="18" t="s">
        <v>494</v>
      </c>
      <c r="G406" s="19" t="s">
        <v>495</v>
      </c>
      <c r="H406" s="18">
        <v>1</v>
      </c>
      <c r="I406" s="18" t="s">
        <v>146</v>
      </c>
    </row>
    <row r="407" spans="1:9" ht="15.75" customHeight="1" x14ac:dyDescent="0.2">
      <c r="A407" s="18" t="s">
        <v>44</v>
      </c>
      <c r="B407" s="19" t="s">
        <v>490</v>
      </c>
      <c r="C407" s="20" t="s">
        <v>491</v>
      </c>
      <c r="D407" s="21" t="s">
        <v>46</v>
      </c>
      <c r="E407" s="104"/>
      <c r="F407" s="18" t="s">
        <v>496</v>
      </c>
      <c r="G407" s="19" t="s">
        <v>497</v>
      </c>
      <c r="H407" s="18">
        <v>1</v>
      </c>
      <c r="I407" s="18" t="s">
        <v>146</v>
      </c>
    </row>
    <row r="408" spans="1:9" ht="15.75" customHeight="1" x14ac:dyDescent="0.2">
      <c r="A408" s="18" t="s">
        <v>44</v>
      </c>
      <c r="B408" s="19" t="s">
        <v>490</v>
      </c>
      <c r="C408" s="20" t="s">
        <v>491</v>
      </c>
      <c r="D408" s="21" t="s">
        <v>46</v>
      </c>
      <c r="E408" s="104"/>
      <c r="F408" s="18" t="s">
        <v>498</v>
      </c>
      <c r="G408" s="19" t="s">
        <v>499</v>
      </c>
      <c r="H408" s="18">
        <v>1</v>
      </c>
      <c r="I408" s="18" t="s">
        <v>146</v>
      </c>
    </row>
    <row r="409" spans="1:9" ht="15.75" customHeight="1" x14ac:dyDescent="0.2">
      <c r="A409" s="18" t="s">
        <v>44</v>
      </c>
      <c r="B409" s="19" t="s">
        <v>490</v>
      </c>
      <c r="C409" s="20" t="s">
        <v>491</v>
      </c>
      <c r="D409" s="21" t="s">
        <v>46</v>
      </c>
      <c r="E409" s="105"/>
      <c r="F409" s="18" t="s">
        <v>500</v>
      </c>
      <c r="G409" s="19" t="s">
        <v>501</v>
      </c>
      <c r="H409" s="18">
        <v>1</v>
      </c>
      <c r="I409" s="18" t="s">
        <v>146</v>
      </c>
    </row>
    <row r="410" spans="1:9" ht="15.75" customHeight="1" x14ac:dyDescent="0.2">
      <c r="A410" s="18" t="s">
        <v>44</v>
      </c>
      <c r="B410" s="19" t="s">
        <v>490</v>
      </c>
      <c r="C410" s="20" t="s">
        <v>502</v>
      </c>
      <c r="D410" s="21" t="s">
        <v>77</v>
      </c>
      <c r="E410" s="103" t="e" vm="74">
        <v>#VALUE!</v>
      </c>
      <c r="F410" s="18">
        <v>342205</v>
      </c>
      <c r="G410" s="19" t="s">
        <v>503</v>
      </c>
      <c r="H410" s="18">
        <v>1</v>
      </c>
      <c r="I410" s="18" t="s">
        <v>146</v>
      </c>
    </row>
    <row r="411" spans="1:9" ht="15.75" customHeight="1" x14ac:dyDescent="0.2">
      <c r="A411" s="18" t="s">
        <v>44</v>
      </c>
      <c r="B411" s="19" t="s">
        <v>490</v>
      </c>
      <c r="C411" s="20" t="s">
        <v>502</v>
      </c>
      <c r="D411" s="21" t="s">
        <v>77</v>
      </c>
      <c r="E411" s="104"/>
      <c r="F411" s="18">
        <v>342206</v>
      </c>
      <c r="G411" s="19" t="s">
        <v>504</v>
      </c>
      <c r="H411" s="18">
        <v>1</v>
      </c>
      <c r="I411" s="18" t="s">
        <v>146</v>
      </c>
    </row>
    <row r="412" spans="1:9" ht="15.75" customHeight="1" x14ac:dyDescent="0.2">
      <c r="A412" s="18" t="s">
        <v>44</v>
      </c>
      <c r="B412" s="19" t="s">
        <v>490</v>
      </c>
      <c r="C412" s="20" t="s">
        <v>502</v>
      </c>
      <c r="D412" s="21" t="s">
        <v>77</v>
      </c>
      <c r="E412" s="104"/>
      <c r="F412" s="18">
        <v>342208</v>
      </c>
      <c r="G412" s="19" t="s">
        <v>505</v>
      </c>
      <c r="H412" s="18">
        <v>1</v>
      </c>
      <c r="I412" s="18" t="s">
        <v>146</v>
      </c>
    </row>
    <row r="413" spans="1:9" ht="15.75" customHeight="1" x14ac:dyDescent="0.2">
      <c r="A413" s="18" t="s">
        <v>44</v>
      </c>
      <c r="B413" s="19" t="s">
        <v>490</v>
      </c>
      <c r="C413" s="20" t="s">
        <v>502</v>
      </c>
      <c r="D413" s="21" t="s">
        <v>77</v>
      </c>
      <c r="E413" s="104"/>
      <c r="F413" s="18">
        <v>342210</v>
      </c>
      <c r="G413" s="19" t="s">
        <v>506</v>
      </c>
      <c r="H413" s="18">
        <v>1</v>
      </c>
      <c r="I413" s="18" t="s">
        <v>146</v>
      </c>
    </row>
    <row r="414" spans="1:9" ht="15.75" customHeight="1" x14ac:dyDescent="0.2">
      <c r="A414" s="18" t="s">
        <v>44</v>
      </c>
      <c r="B414" s="19" t="s">
        <v>490</v>
      </c>
      <c r="C414" s="20" t="s">
        <v>502</v>
      </c>
      <c r="D414" s="21" t="s">
        <v>77</v>
      </c>
      <c r="E414" s="105"/>
      <c r="F414" s="18">
        <v>342216</v>
      </c>
      <c r="G414" s="19" t="s">
        <v>507</v>
      </c>
      <c r="H414" s="18">
        <v>1</v>
      </c>
      <c r="I414" s="18" t="s">
        <v>146</v>
      </c>
    </row>
    <row r="415" spans="1:9" ht="15.75" customHeight="1" x14ac:dyDescent="0.2">
      <c r="A415" s="18" t="s">
        <v>44</v>
      </c>
      <c r="B415" s="19" t="s">
        <v>490</v>
      </c>
      <c r="C415" s="20" t="s">
        <v>502</v>
      </c>
      <c r="D415" s="21" t="s">
        <v>77</v>
      </c>
      <c r="E415" s="103" t="e" vm="75">
        <v>#VALUE!</v>
      </c>
      <c r="F415" s="18">
        <v>342105</v>
      </c>
      <c r="G415" s="19" t="s">
        <v>508</v>
      </c>
      <c r="H415" s="18">
        <v>1</v>
      </c>
      <c r="I415" s="18" t="s">
        <v>146</v>
      </c>
    </row>
    <row r="416" spans="1:9" ht="15.75" customHeight="1" x14ac:dyDescent="0.2">
      <c r="A416" s="18" t="s">
        <v>44</v>
      </c>
      <c r="B416" s="19" t="s">
        <v>490</v>
      </c>
      <c r="C416" s="20" t="s">
        <v>502</v>
      </c>
      <c r="D416" s="21" t="s">
        <v>77</v>
      </c>
      <c r="E416" s="104"/>
      <c r="F416" s="18">
        <v>342106</v>
      </c>
      <c r="G416" s="19" t="s">
        <v>509</v>
      </c>
      <c r="H416" s="18">
        <v>1</v>
      </c>
      <c r="I416" s="18" t="s">
        <v>146</v>
      </c>
    </row>
    <row r="417" spans="1:9" ht="15.75" customHeight="1" x14ac:dyDescent="0.2">
      <c r="A417" s="18" t="s">
        <v>44</v>
      </c>
      <c r="B417" s="19" t="s">
        <v>490</v>
      </c>
      <c r="C417" s="20" t="s">
        <v>502</v>
      </c>
      <c r="D417" s="21" t="s">
        <v>77</v>
      </c>
      <c r="E417" s="104"/>
      <c r="F417" s="18">
        <v>342108</v>
      </c>
      <c r="G417" s="19" t="s">
        <v>510</v>
      </c>
      <c r="H417" s="18">
        <v>1</v>
      </c>
      <c r="I417" s="18" t="s">
        <v>146</v>
      </c>
    </row>
    <row r="418" spans="1:9" ht="15.75" customHeight="1" x14ac:dyDescent="0.2">
      <c r="A418" s="18" t="s">
        <v>44</v>
      </c>
      <c r="B418" s="19" t="s">
        <v>490</v>
      </c>
      <c r="C418" s="20" t="s">
        <v>502</v>
      </c>
      <c r="D418" s="21" t="s">
        <v>77</v>
      </c>
      <c r="E418" s="104"/>
      <c r="F418" s="18">
        <v>342110</v>
      </c>
      <c r="G418" s="19" t="s">
        <v>511</v>
      </c>
      <c r="H418" s="18">
        <v>1</v>
      </c>
      <c r="I418" s="18" t="s">
        <v>146</v>
      </c>
    </row>
    <row r="419" spans="1:9" ht="15.75" customHeight="1" x14ac:dyDescent="0.2">
      <c r="A419" s="18" t="s">
        <v>44</v>
      </c>
      <c r="B419" s="19" t="s">
        <v>490</v>
      </c>
      <c r="C419" s="20" t="s">
        <v>502</v>
      </c>
      <c r="D419" s="21" t="s">
        <v>77</v>
      </c>
      <c r="E419" s="105"/>
      <c r="F419" s="18">
        <v>342116</v>
      </c>
      <c r="G419" s="19" t="s">
        <v>512</v>
      </c>
      <c r="H419" s="18">
        <v>1</v>
      </c>
      <c r="I419" s="18" t="s">
        <v>146</v>
      </c>
    </row>
    <row r="420" spans="1:9" ht="46.5" customHeight="1" x14ac:dyDescent="0.2">
      <c r="A420" s="18" t="s">
        <v>44</v>
      </c>
      <c r="B420" s="19" t="s">
        <v>490</v>
      </c>
      <c r="C420" s="20" t="s">
        <v>502</v>
      </c>
      <c r="D420" s="21" t="s">
        <v>77</v>
      </c>
      <c r="E420" s="76" t="e" vm="76">
        <v>#VALUE!</v>
      </c>
      <c r="F420" s="18">
        <v>342910</v>
      </c>
      <c r="G420" s="19" t="s">
        <v>513</v>
      </c>
      <c r="H420" s="18">
        <v>1</v>
      </c>
      <c r="I420" s="18" t="s">
        <v>146</v>
      </c>
    </row>
    <row r="421" spans="1:9" ht="36.75" customHeight="1" x14ac:dyDescent="0.2">
      <c r="A421" s="18" t="s">
        <v>44</v>
      </c>
      <c r="B421" s="19" t="s">
        <v>490</v>
      </c>
      <c r="C421" s="20" t="s">
        <v>502</v>
      </c>
      <c r="D421" s="21" t="s">
        <v>77</v>
      </c>
      <c r="E421" s="113" t="e" vm="77">
        <v>#VALUE!</v>
      </c>
      <c r="F421" s="18">
        <v>342911</v>
      </c>
      <c r="G421" s="19" t="s">
        <v>514</v>
      </c>
      <c r="H421" s="18">
        <v>1</v>
      </c>
      <c r="I421" s="18" t="s">
        <v>146</v>
      </c>
    </row>
    <row r="422" spans="1:9" ht="36.75" customHeight="1" x14ac:dyDescent="0.2">
      <c r="A422" s="18" t="s">
        <v>44</v>
      </c>
      <c r="B422" s="19" t="s">
        <v>490</v>
      </c>
      <c r="C422" s="20" t="s">
        <v>502</v>
      </c>
      <c r="D422" s="21" t="s">
        <v>77</v>
      </c>
      <c r="E422" s="105"/>
      <c r="F422" s="18">
        <v>342916</v>
      </c>
      <c r="G422" s="19" t="s">
        <v>515</v>
      </c>
      <c r="H422" s="18">
        <v>1</v>
      </c>
      <c r="I422" s="18" t="s">
        <v>146</v>
      </c>
    </row>
    <row r="423" spans="1:9" ht="15.75" customHeight="1" x14ac:dyDescent="0.2">
      <c r="A423" s="18" t="s">
        <v>44</v>
      </c>
      <c r="B423" s="19" t="s">
        <v>490</v>
      </c>
      <c r="C423" s="20" t="s">
        <v>502</v>
      </c>
      <c r="D423" s="21" t="s">
        <v>77</v>
      </c>
      <c r="E423" s="103" t="e" vm="78">
        <v>#VALUE!</v>
      </c>
      <c r="F423" s="18">
        <v>42405</v>
      </c>
      <c r="G423" s="19" t="s">
        <v>516</v>
      </c>
      <c r="H423" s="18">
        <v>1</v>
      </c>
      <c r="I423" s="18" t="s">
        <v>146</v>
      </c>
    </row>
    <row r="424" spans="1:9" ht="15.75" customHeight="1" x14ac:dyDescent="0.2">
      <c r="A424" s="18" t="s">
        <v>44</v>
      </c>
      <c r="B424" s="19" t="s">
        <v>490</v>
      </c>
      <c r="C424" s="20" t="s">
        <v>502</v>
      </c>
      <c r="D424" s="21" t="s">
        <v>77</v>
      </c>
      <c r="E424" s="104"/>
      <c r="F424" s="18">
        <v>342406</v>
      </c>
      <c r="G424" s="19" t="s">
        <v>517</v>
      </c>
      <c r="H424" s="18">
        <v>1</v>
      </c>
      <c r="I424" s="18" t="s">
        <v>146</v>
      </c>
    </row>
    <row r="425" spans="1:9" ht="15.75" customHeight="1" x14ac:dyDescent="0.2">
      <c r="A425" s="18" t="s">
        <v>44</v>
      </c>
      <c r="B425" s="19" t="s">
        <v>490</v>
      </c>
      <c r="C425" s="20" t="s">
        <v>502</v>
      </c>
      <c r="D425" s="21" t="s">
        <v>77</v>
      </c>
      <c r="E425" s="104"/>
      <c r="F425" s="18">
        <v>342408</v>
      </c>
      <c r="G425" s="19" t="s">
        <v>518</v>
      </c>
      <c r="H425" s="18">
        <v>1</v>
      </c>
      <c r="I425" s="18" t="s">
        <v>146</v>
      </c>
    </row>
    <row r="426" spans="1:9" ht="15.75" customHeight="1" x14ac:dyDescent="0.2">
      <c r="A426" s="18" t="s">
        <v>44</v>
      </c>
      <c r="B426" s="19" t="s">
        <v>490</v>
      </c>
      <c r="C426" s="20" t="s">
        <v>502</v>
      </c>
      <c r="D426" s="21" t="s">
        <v>77</v>
      </c>
      <c r="E426" s="104"/>
      <c r="F426" s="18">
        <v>342410</v>
      </c>
      <c r="G426" s="19" t="s">
        <v>519</v>
      </c>
      <c r="H426" s="18">
        <v>1</v>
      </c>
      <c r="I426" s="18" t="s">
        <v>146</v>
      </c>
    </row>
    <row r="427" spans="1:9" ht="15.75" customHeight="1" x14ac:dyDescent="0.2">
      <c r="A427" s="18" t="s">
        <v>44</v>
      </c>
      <c r="B427" s="19" t="s">
        <v>490</v>
      </c>
      <c r="C427" s="20" t="s">
        <v>502</v>
      </c>
      <c r="D427" s="21" t="s">
        <v>77</v>
      </c>
      <c r="E427" s="105"/>
      <c r="F427" s="18">
        <v>342416</v>
      </c>
      <c r="G427" s="19" t="s">
        <v>520</v>
      </c>
      <c r="H427" s="18">
        <v>1</v>
      </c>
      <c r="I427" s="18" t="s">
        <v>146</v>
      </c>
    </row>
    <row r="428" spans="1:9" ht="34.5" customHeight="1" x14ac:dyDescent="0.2">
      <c r="A428" s="18" t="s">
        <v>44</v>
      </c>
      <c r="B428" s="19" t="s">
        <v>490</v>
      </c>
      <c r="C428" s="20" t="s">
        <v>502</v>
      </c>
      <c r="D428" s="21" t="s">
        <v>77</v>
      </c>
      <c r="E428" s="103" t="e" vm="79">
        <v>#VALUE!</v>
      </c>
      <c r="F428" s="18">
        <v>42810</v>
      </c>
      <c r="G428" s="19" t="s">
        <v>521</v>
      </c>
      <c r="H428" s="18">
        <v>1</v>
      </c>
      <c r="I428" s="18" t="s">
        <v>146</v>
      </c>
    </row>
    <row r="429" spans="1:9" ht="34.5" customHeight="1" x14ac:dyDescent="0.2">
      <c r="A429" s="18" t="s">
        <v>44</v>
      </c>
      <c r="B429" s="19" t="s">
        <v>490</v>
      </c>
      <c r="C429" s="20" t="s">
        <v>502</v>
      </c>
      <c r="D429" s="21" t="s">
        <v>77</v>
      </c>
      <c r="E429" s="105"/>
      <c r="F429" s="18">
        <v>42816</v>
      </c>
      <c r="G429" s="19" t="s">
        <v>522</v>
      </c>
      <c r="H429" s="18">
        <v>1</v>
      </c>
      <c r="I429" s="18" t="s">
        <v>146</v>
      </c>
    </row>
    <row r="430" spans="1:9" ht="15.75" customHeight="1" x14ac:dyDescent="0.2">
      <c r="A430" s="18" t="s">
        <v>44</v>
      </c>
      <c r="B430" s="19" t="s">
        <v>490</v>
      </c>
      <c r="C430" s="20" t="s">
        <v>502</v>
      </c>
      <c r="D430" s="21" t="s">
        <v>77</v>
      </c>
      <c r="E430" s="103" t="e" vm="80">
        <v>#VALUE!</v>
      </c>
      <c r="F430" s="18">
        <v>42305</v>
      </c>
      <c r="G430" s="19" t="s">
        <v>523</v>
      </c>
      <c r="H430" s="18">
        <v>1</v>
      </c>
      <c r="I430" s="18" t="s">
        <v>146</v>
      </c>
    </row>
    <row r="431" spans="1:9" ht="15.75" customHeight="1" x14ac:dyDescent="0.2">
      <c r="A431" s="18" t="s">
        <v>44</v>
      </c>
      <c r="B431" s="19" t="s">
        <v>490</v>
      </c>
      <c r="C431" s="20" t="s">
        <v>502</v>
      </c>
      <c r="D431" s="21" t="s">
        <v>77</v>
      </c>
      <c r="E431" s="104"/>
      <c r="F431" s="18">
        <v>342306</v>
      </c>
      <c r="G431" s="19" t="s">
        <v>524</v>
      </c>
      <c r="H431" s="18">
        <v>1</v>
      </c>
      <c r="I431" s="18" t="s">
        <v>146</v>
      </c>
    </row>
    <row r="432" spans="1:9" ht="15.75" customHeight="1" x14ac:dyDescent="0.2">
      <c r="A432" s="18" t="s">
        <v>44</v>
      </c>
      <c r="B432" s="19" t="s">
        <v>490</v>
      </c>
      <c r="C432" s="20" t="s">
        <v>502</v>
      </c>
      <c r="D432" s="21" t="s">
        <v>77</v>
      </c>
      <c r="E432" s="104"/>
      <c r="F432" s="18">
        <v>342308</v>
      </c>
      <c r="G432" s="19" t="s">
        <v>525</v>
      </c>
      <c r="H432" s="18">
        <v>1</v>
      </c>
      <c r="I432" s="18" t="s">
        <v>146</v>
      </c>
    </row>
    <row r="433" spans="1:9" ht="15.75" customHeight="1" x14ac:dyDescent="0.2">
      <c r="A433" s="18" t="s">
        <v>44</v>
      </c>
      <c r="B433" s="19" t="s">
        <v>490</v>
      </c>
      <c r="C433" s="20" t="s">
        <v>502</v>
      </c>
      <c r="D433" s="21" t="s">
        <v>77</v>
      </c>
      <c r="E433" s="104"/>
      <c r="F433" s="18">
        <v>342310</v>
      </c>
      <c r="G433" s="19" t="s">
        <v>526</v>
      </c>
      <c r="H433" s="18">
        <v>1</v>
      </c>
      <c r="I433" s="18" t="s">
        <v>146</v>
      </c>
    </row>
    <row r="434" spans="1:9" ht="15.75" customHeight="1" x14ac:dyDescent="0.2">
      <c r="A434" s="18" t="s">
        <v>44</v>
      </c>
      <c r="B434" s="19" t="s">
        <v>490</v>
      </c>
      <c r="C434" s="20" t="s">
        <v>502</v>
      </c>
      <c r="D434" s="21" t="s">
        <v>77</v>
      </c>
      <c r="E434" s="105"/>
      <c r="F434" s="18">
        <v>342318</v>
      </c>
      <c r="G434" s="19" t="s">
        <v>527</v>
      </c>
      <c r="H434" s="18">
        <v>1</v>
      </c>
      <c r="I434" s="18" t="s">
        <v>146</v>
      </c>
    </row>
    <row r="435" spans="1:9" ht="15.75" customHeight="1" x14ac:dyDescent="0.2">
      <c r="A435" s="18" t="s">
        <v>44</v>
      </c>
      <c r="B435" s="19" t="s">
        <v>490</v>
      </c>
      <c r="C435" s="20" t="s">
        <v>502</v>
      </c>
      <c r="D435" s="21" t="s">
        <v>77</v>
      </c>
      <c r="E435" s="103" t="e" vm="81">
        <v>#VALUE!</v>
      </c>
      <c r="F435" s="18">
        <v>42312</v>
      </c>
      <c r="G435" s="19" t="s">
        <v>528</v>
      </c>
      <c r="H435" s="18">
        <v>1</v>
      </c>
      <c r="I435" s="18" t="s">
        <v>146</v>
      </c>
    </row>
    <row r="436" spans="1:9" ht="15.75" customHeight="1" x14ac:dyDescent="0.2">
      <c r="A436" s="18" t="s">
        <v>44</v>
      </c>
      <c r="B436" s="19" t="s">
        <v>490</v>
      </c>
      <c r="C436" s="20" t="s">
        <v>502</v>
      </c>
      <c r="D436" s="21" t="s">
        <v>77</v>
      </c>
      <c r="E436" s="104"/>
      <c r="F436" s="18">
        <v>342313</v>
      </c>
      <c r="G436" s="19" t="s">
        <v>529</v>
      </c>
      <c r="H436" s="18">
        <v>1</v>
      </c>
      <c r="I436" s="18" t="s">
        <v>146</v>
      </c>
    </row>
    <row r="437" spans="1:9" ht="15.75" customHeight="1" x14ac:dyDescent="0.2">
      <c r="A437" s="18" t="s">
        <v>44</v>
      </c>
      <c r="B437" s="19" t="s">
        <v>490</v>
      </c>
      <c r="C437" s="20" t="s">
        <v>502</v>
      </c>
      <c r="D437" s="21" t="s">
        <v>77</v>
      </c>
      <c r="E437" s="104"/>
      <c r="F437" s="18">
        <v>342314</v>
      </c>
      <c r="G437" s="19" t="s">
        <v>530</v>
      </c>
      <c r="H437" s="18">
        <v>1</v>
      </c>
      <c r="I437" s="18" t="s">
        <v>146</v>
      </c>
    </row>
    <row r="438" spans="1:9" ht="15" customHeight="1" x14ac:dyDescent="0.2">
      <c r="A438" s="18" t="s">
        <v>44</v>
      </c>
      <c r="B438" s="19" t="s">
        <v>490</v>
      </c>
      <c r="C438" s="20" t="s">
        <v>502</v>
      </c>
      <c r="D438" s="21" t="s">
        <v>77</v>
      </c>
      <c r="E438" s="104"/>
      <c r="F438" s="18">
        <v>342315</v>
      </c>
      <c r="G438" s="19" t="s">
        <v>531</v>
      </c>
      <c r="H438" s="18">
        <v>1</v>
      </c>
      <c r="I438" s="18" t="s">
        <v>146</v>
      </c>
    </row>
    <row r="439" spans="1:9" ht="15.75" customHeight="1" x14ac:dyDescent="0.2">
      <c r="A439" s="18" t="s">
        <v>44</v>
      </c>
      <c r="B439" s="19" t="s">
        <v>490</v>
      </c>
      <c r="C439" s="20" t="s">
        <v>502</v>
      </c>
      <c r="D439" s="21" t="s">
        <v>77</v>
      </c>
      <c r="E439" s="104"/>
      <c r="F439" s="18">
        <v>342316</v>
      </c>
      <c r="G439" s="19" t="s">
        <v>532</v>
      </c>
      <c r="H439" s="18">
        <v>1</v>
      </c>
      <c r="I439" s="18" t="s">
        <v>146</v>
      </c>
    </row>
    <row r="440" spans="1:9" ht="15.75" customHeight="1" x14ac:dyDescent="0.2">
      <c r="A440" s="18" t="s">
        <v>44</v>
      </c>
      <c r="B440" s="19" t="s">
        <v>490</v>
      </c>
      <c r="C440" s="20" t="s">
        <v>502</v>
      </c>
      <c r="D440" s="21" t="s">
        <v>77</v>
      </c>
      <c r="E440" s="105"/>
      <c r="F440" s="18">
        <v>342317</v>
      </c>
      <c r="G440" s="19" t="s">
        <v>533</v>
      </c>
      <c r="H440" s="18">
        <v>1</v>
      </c>
      <c r="I440" s="18" t="s">
        <v>146</v>
      </c>
    </row>
    <row r="441" spans="1:9" ht="24.75" customHeight="1" x14ac:dyDescent="0.2">
      <c r="A441" s="18" t="s">
        <v>44</v>
      </c>
      <c r="B441" s="19" t="s">
        <v>490</v>
      </c>
      <c r="C441" s="20" t="s">
        <v>502</v>
      </c>
      <c r="D441" s="21" t="s">
        <v>77</v>
      </c>
      <c r="E441" s="103" t="e" vm="82">
        <v>#VALUE!</v>
      </c>
      <c r="F441" s="18">
        <v>42608</v>
      </c>
      <c r="G441" s="19" t="s">
        <v>534</v>
      </c>
      <c r="H441" s="18">
        <v>1</v>
      </c>
      <c r="I441" s="18" t="s">
        <v>146</v>
      </c>
    </row>
    <row r="442" spans="1:9" ht="24.75" customHeight="1" x14ac:dyDescent="0.2">
      <c r="A442" s="18" t="s">
        <v>44</v>
      </c>
      <c r="B442" s="19" t="s">
        <v>490</v>
      </c>
      <c r="C442" s="20" t="s">
        <v>502</v>
      </c>
      <c r="D442" s="21" t="s">
        <v>77</v>
      </c>
      <c r="E442" s="104"/>
      <c r="F442" s="18">
        <v>342610</v>
      </c>
      <c r="G442" s="19" t="s">
        <v>535</v>
      </c>
      <c r="H442" s="18">
        <v>1</v>
      </c>
      <c r="I442" s="18" t="s">
        <v>146</v>
      </c>
    </row>
    <row r="443" spans="1:9" ht="24.75" customHeight="1" x14ac:dyDescent="0.2">
      <c r="A443" s="18" t="s">
        <v>44</v>
      </c>
      <c r="B443" s="19" t="s">
        <v>490</v>
      </c>
      <c r="C443" s="20" t="s">
        <v>502</v>
      </c>
      <c r="D443" s="21" t="s">
        <v>77</v>
      </c>
      <c r="E443" s="105"/>
      <c r="F443" s="18">
        <v>342616</v>
      </c>
      <c r="G443" s="19" t="s">
        <v>536</v>
      </c>
      <c r="H443" s="18">
        <v>1</v>
      </c>
      <c r="I443" s="18" t="s">
        <v>146</v>
      </c>
    </row>
    <row r="444" spans="1:9" ht="24.75" customHeight="1" x14ac:dyDescent="0.2">
      <c r="A444" s="18" t="s">
        <v>44</v>
      </c>
      <c r="B444" s="19" t="s">
        <v>490</v>
      </c>
      <c r="C444" s="20" t="s">
        <v>502</v>
      </c>
      <c r="D444" s="21" t="s">
        <v>77</v>
      </c>
      <c r="E444" s="103" t="e" vm="83">
        <v>#VALUE!</v>
      </c>
      <c r="F444" s="18">
        <v>342611</v>
      </c>
      <c r="G444" s="19" t="s">
        <v>537</v>
      </c>
      <c r="H444" s="18">
        <v>1</v>
      </c>
      <c r="I444" s="18" t="s">
        <v>146</v>
      </c>
    </row>
    <row r="445" spans="1:9" ht="24.75" customHeight="1" x14ac:dyDescent="0.2">
      <c r="A445" s="18" t="s">
        <v>44</v>
      </c>
      <c r="B445" s="19" t="s">
        <v>490</v>
      </c>
      <c r="C445" s="20" t="s">
        <v>502</v>
      </c>
      <c r="D445" s="21" t="s">
        <v>77</v>
      </c>
      <c r="E445" s="105"/>
      <c r="F445" s="18">
        <v>342612</v>
      </c>
      <c r="G445" s="19" t="s">
        <v>538</v>
      </c>
      <c r="H445" s="18">
        <v>1</v>
      </c>
      <c r="I445" s="18" t="s">
        <v>146</v>
      </c>
    </row>
    <row r="446" spans="1:9" ht="15.75" customHeight="1" x14ac:dyDescent="0.2">
      <c r="A446" s="18" t="s">
        <v>44</v>
      </c>
      <c r="B446" s="19" t="s">
        <v>490</v>
      </c>
      <c r="C446" s="20" t="s">
        <v>502</v>
      </c>
      <c r="D446" s="21" t="s">
        <v>77</v>
      </c>
      <c r="E446" s="103" t="e" vm="84">
        <v>#VALUE!</v>
      </c>
      <c r="F446" s="18">
        <v>42705</v>
      </c>
      <c r="G446" s="19" t="s">
        <v>539</v>
      </c>
      <c r="H446" s="18">
        <v>1</v>
      </c>
      <c r="I446" s="18" t="s">
        <v>146</v>
      </c>
    </row>
    <row r="447" spans="1:9" ht="15.75" customHeight="1" x14ac:dyDescent="0.2">
      <c r="A447" s="18" t="s">
        <v>44</v>
      </c>
      <c r="B447" s="19" t="s">
        <v>490</v>
      </c>
      <c r="C447" s="20" t="s">
        <v>502</v>
      </c>
      <c r="D447" s="21" t="s">
        <v>77</v>
      </c>
      <c r="E447" s="104"/>
      <c r="F447" s="18">
        <v>342706</v>
      </c>
      <c r="G447" s="19" t="s">
        <v>540</v>
      </c>
      <c r="H447" s="18">
        <v>1</v>
      </c>
      <c r="I447" s="18" t="s">
        <v>146</v>
      </c>
    </row>
    <row r="448" spans="1:9" ht="15.75" customHeight="1" x14ac:dyDescent="0.2">
      <c r="A448" s="18" t="s">
        <v>44</v>
      </c>
      <c r="B448" s="19" t="s">
        <v>490</v>
      </c>
      <c r="C448" s="20" t="s">
        <v>502</v>
      </c>
      <c r="D448" s="21" t="s">
        <v>77</v>
      </c>
      <c r="E448" s="104"/>
      <c r="F448" s="18">
        <v>342708</v>
      </c>
      <c r="G448" s="19" t="s">
        <v>541</v>
      </c>
      <c r="H448" s="18">
        <v>1</v>
      </c>
      <c r="I448" s="18" t="s">
        <v>146</v>
      </c>
    </row>
    <row r="449" spans="1:9" ht="15.75" customHeight="1" x14ac:dyDescent="0.2">
      <c r="A449" s="18" t="s">
        <v>44</v>
      </c>
      <c r="B449" s="19" t="s">
        <v>490</v>
      </c>
      <c r="C449" s="20" t="s">
        <v>502</v>
      </c>
      <c r="D449" s="21" t="s">
        <v>77</v>
      </c>
      <c r="E449" s="104"/>
      <c r="F449" s="18">
        <v>342710</v>
      </c>
      <c r="G449" s="19" t="s">
        <v>542</v>
      </c>
      <c r="H449" s="18">
        <v>1</v>
      </c>
      <c r="I449" s="18" t="s">
        <v>146</v>
      </c>
    </row>
    <row r="450" spans="1:9" ht="15.75" customHeight="1" x14ac:dyDescent="0.2">
      <c r="A450" s="18" t="s">
        <v>44</v>
      </c>
      <c r="B450" s="19" t="s">
        <v>490</v>
      </c>
      <c r="C450" s="20" t="s">
        <v>502</v>
      </c>
      <c r="D450" s="21" t="s">
        <v>77</v>
      </c>
      <c r="E450" s="105"/>
      <c r="F450" s="18">
        <v>342718</v>
      </c>
      <c r="G450" s="19" t="s">
        <v>543</v>
      </c>
      <c r="H450" s="18">
        <v>1</v>
      </c>
      <c r="I450" s="18" t="s">
        <v>146</v>
      </c>
    </row>
    <row r="451" spans="1:9" ht="15.75" customHeight="1" x14ac:dyDescent="0.2">
      <c r="A451" s="18" t="s">
        <v>44</v>
      </c>
      <c r="B451" s="19" t="s">
        <v>490</v>
      </c>
      <c r="C451" s="20" t="s">
        <v>502</v>
      </c>
      <c r="D451" s="21" t="s">
        <v>77</v>
      </c>
      <c r="E451" s="103" t="e" vm="85">
        <v>#VALUE!</v>
      </c>
      <c r="F451" s="18">
        <v>42712</v>
      </c>
      <c r="G451" s="19" t="s">
        <v>544</v>
      </c>
      <c r="H451" s="18">
        <v>1</v>
      </c>
      <c r="I451" s="18" t="s">
        <v>146</v>
      </c>
    </row>
    <row r="452" spans="1:9" ht="15.75" customHeight="1" x14ac:dyDescent="0.2">
      <c r="A452" s="18" t="s">
        <v>44</v>
      </c>
      <c r="B452" s="19" t="s">
        <v>490</v>
      </c>
      <c r="C452" s="20" t="s">
        <v>502</v>
      </c>
      <c r="D452" s="21" t="s">
        <v>77</v>
      </c>
      <c r="E452" s="104"/>
      <c r="F452" s="18">
        <v>342713</v>
      </c>
      <c r="G452" s="19" t="s">
        <v>545</v>
      </c>
      <c r="H452" s="18">
        <v>1</v>
      </c>
      <c r="I452" s="18" t="s">
        <v>146</v>
      </c>
    </row>
    <row r="453" spans="1:9" ht="15.75" customHeight="1" x14ac:dyDescent="0.2">
      <c r="A453" s="18" t="s">
        <v>44</v>
      </c>
      <c r="B453" s="19" t="s">
        <v>490</v>
      </c>
      <c r="C453" s="20" t="s">
        <v>502</v>
      </c>
      <c r="D453" s="21" t="s">
        <v>77</v>
      </c>
      <c r="E453" s="104"/>
      <c r="F453" s="18">
        <v>342714</v>
      </c>
      <c r="G453" s="19" t="s">
        <v>546</v>
      </c>
      <c r="H453" s="18">
        <v>1</v>
      </c>
      <c r="I453" s="18" t="s">
        <v>146</v>
      </c>
    </row>
    <row r="454" spans="1:9" ht="15.75" customHeight="1" x14ac:dyDescent="0.2">
      <c r="A454" s="18" t="s">
        <v>44</v>
      </c>
      <c r="B454" s="19" t="s">
        <v>490</v>
      </c>
      <c r="C454" s="20" t="s">
        <v>502</v>
      </c>
      <c r="D454" s="21" t="s">
        <v>77</v>
      </c>
      <c r="E454" s="104"/>
      <c r="F454" s="18">
        <v>342715</v>
      </c>
      <c r="G454" s="19" t="s">
        <v>547</v>
      </c>
      <c r="H454" s="18">
        <v>1</v>
      </c>
      <c r="I454" s="18" t="s">
        <v>146</v>
      </c>
    </row>
    <row r="455" spans="1:9" ht="15.75" customHeight="1" x14ac:dyDescent="0.2">
      <c r="A455" s="18" t="s">
        <v>44</v>
      </c>
      <c r="B455" s="19" t="s">
        <v>490</v>
      </c>
      <c r="C455" s="20" t="s">
        <v>502</v>
      </c>
      <c r="D455" s="21" t="s">
        <v>77</v>
      </c>
      <c r="E455" s="104"/>
      <c r="F455" s="18">
        <v>342716</v>
      </c>
      <c r="G455" s="19" t="s">
        <v>548</v>
      </c>
      <c r="H455" s="18">
        <v>1</v>
      </c>
      <c r="I455" s="18" t="s">
        <v>146</v>
      </c>
    </row>
    <row r="456" spans="1:9" ht="15.75" customHeight="1" x14ac:dyDescent="0.2">
      <c r="A456" s="18" t="s">
        <v>44</v>
      </c>
      <c r="B456" s="19" t="s">
        <v>490</v>
      </c>
      <c r="C456" s="20" t="s">
        <v>502</v>
      </c>
      <c r="D456" s="21" t="s">
        <v>77</v>
      </c>
      <c r="E456" s="105"/>
      <c r="F456" s="18">
        <v>342717</v>
      </c>
      <c r="G456" s="19" t="s">
        <v>549</v>
      </c>
      <c r="H456" s="18">
        <v>1</v>
      </c>
      <c r="I456" s="18" t="s">
        <v>146</v>
      </c>
    </row>
    <row r="457" spans="1:9" ht="15.75" customHeight="1" x14ac:dyDescent="0.2">
      <c r="A457" s="18" t="s">
        <v>44</v>
      </c>
      <c r="B457" s="19" t="s">
        <v>490</v>
      </c>
      <c r="C457" s="20" t="s">
        <v>502</v>
      </c>
      <c r="D457" s="21" t="s">
        <v>77</v>
      </c>
      <c r="E457" s="103" t="e" vm="86">
        <v>#VALUE!</v>
      </c>
      <c r="F457" s="18">
        <v>42005</v>
      </c>
      <c r="G457" s="19" t="s">
        <v>550</v>
      </c>
      <c r="H457" s="18">
        <v>1</v>
      </c>
      <c r="I457" s="18" t="s">
        <v>146</v>
      </c>
    </row>
    <row r="458" spans="1:9" ht="15.75" customHeight="1" x14ac:dyDescent="0.2">
      <c r="A458" s="18" t="s">
        <v>44</v>
      </c>
      <c r="B458" s="19" t="s">
        <v>490</v>
      </c>
      <c r="C458" s="20" t="s">
        <v>502</v>
      </c>
      <c r="D458" s="21" t="s">
        <v>77</v>
      </c>
      <c r="E458" s="104"/>
      <c r="F458" s="18">
        <v>342006</v>
      </c>
      <c r="G458" s="19" t="s">
        <v>551</v>
      </c>
      <c r="H458" s="18">
        <v>1</v>
      </c>
      <c r="I458" s="18" t="s">
        <v>146</v>
      </c>
    </row>
    <row r="459" spans="1:9" ht="15.75" customHeight="1" x14ac:dyDescent="0.2">
      <c r="A459" s="18" t="s">
        <v>44</v>
      </c>
      <c r="B459" s="19" t="s">
        <v>490</v>
      </c>
      <c r="C459" s="20" t="s">
        <v>502</v>
      </c>
      <c r="D459" s="21" t="s">
        <v>77</v>
      </c>
      <c r="E459" s="104"/>
      <c r="F459" s="18">
        <v>342008</v>
      </c>
      <c r="G459" s="19" t="s">
        <v>552</v>
      </c>
      <c r="H459" s="18">
        <v>1</v>
      </c>
      <c r="I459" s="18" t="s">
        <v>146</v>
      </c>
    </row>
    <row r="460" spans="1:9" ht="15.75" customHeight="1" x14ac:dyDescent="0.2">
      <c r="A460" s="18" t="s">
        <v>44</v>
      </c>
      <c r="B460" s="19" t="s">
        <v>490</v>
      </c>
      <c r="C460" s="20" t="s">
        <v>502</v>
      </c>
      <c r="D460" s="21" t="s">
        <v>77</v>
      </c>
      <c r="E460" s="104"/>
      <c r="F460" s="18">
        <v>342010</v>
      </c>
      <c r="G460" s="19" t="s">
        <v>553</v>
      </c>
      <c r="H460" s="18">
        <v>1</v>
      </c>
      <c r="I460" s="18" t="s">
        <v>146</v>
      </c>
    </row>
    <row r="461" spans="1:9" ht="15.75" customHeight="1" x14ac:dyDescent="0.2">
      <c r="A461" s="18" t="s">
        <v>44</v>
      </c>
      <c r="B461" s="19" t="s">
        <v>490</v>
      </c>
      <c r="C461" s="20" t="s">
        <v>502</v>
      </c>
      <c r="D461" s="21" t="s">
        <v>77</v>
      </c>
      <c r="E461" s="105"/>
      <c r="F461" s="18">
        <v>342016</v>
      </c>
      <c r="G461" s="19" t="s">
        <v>554</v>
      </c>
      <c r="H461" s="18">
        <v>1</v>
      </c>
      <c r="I461" s="18" t="s">
        <v>146</v>
      </c>
    </row>
    <row r="462" spans="1:9" ht="15.75" customHeight="1" x14ac:dyDescent="0.2">
      <c r="A462" s="18" t="s">
        <v>44</v>
      </c>
      <c r="B462" s="19" t="s">
        <v>490</v>
      </c>
      <c r="C462" s="20" t="s">
        <v>502</v>
      </c>
      <c r="D462" s="21" t="s">
        <v>77</v>
      </c>
      <c r="E462" s="103" t="e" vm="87">
        <v>#VALUE!</v>
      </c>
      <c r="F462" s="18">
        <v>342505</v>
      </c>
      <c r="G462" s="19" t="s">
        <v>555</v>
      </c>
      <c r="H462" s="18">
        <v>1</v>
      </c>
      <c r="I462" s="18" t="s">
        <v>48</v>
      </c>
    </row>
    <row r="463" spans="1:9" ht="15.75" customHeight="1" x14ac:dyDescent="0.2">
      <c r="A463" s="18" t="s">
        <v>44</v>
      </c>
      <c r="B463" s="19" t="s">
        <v>490</v>
      </c>
      <c r="C463" s="20" t="s">
        <v>502</v>
      </c>
      <c r="D463" s="21" t="s">
        <v>77</v>
      </c>
      <c r="E463" s="104"/>
      <c r="F463" s="18">
        <v>342506</v>
      </c>
      <c r="G463" s="19" t="s">
        <v>556</v>
      </c>
      <c r="H463" s="18">
        <v>1</v>
      </c>
      <c r="I463" s="18" t="s">
        <v>48</v>
      </c>
    </row>
    <row r="464" spans="1:9" ht="15.75" customHeight="1" x14ac:dyDescent="0.2">
      <c r="A464" s="18" t="s">
        <v>44</v>
      </c>
      <c r="B464" s="19" t="s">
        <v>490</v>
      </c>
      <c r="C464" s="20" t="s">
        <v>502</v>
      </c>
      <c r="D464" s="21" t="s">
        <v>77</v>
      </c>
      <c r="E464" s="104"/>
      <c r="F464" s="18">
        <v>342508</v>
      </c>
      <c r="G464" s="19" t="s">
        <v>557</v>
      </c>
      <c r="H464" s="18">
        <v>1</v>
      </c>
      <c r="I464" s="18" t="s">
        <v>48</v>
      </c>
    </row>
    <row r="465" spans="1:9" ht="15.75" customHeight="1" x14ac:dyDescent="0.2">
      <c r="A465" s="18" t="s">
        <v>44</v>
      </c>
      <c r="B465" s="19" t="s">
        <v>490</v>
      </c>
      <c r="C465" s="20" t="s">
        <v>502</v>
      </c>
      <c r="D465" s="21" t="s">
        <v>77</v>
      </c>
      <c r="E465" s="104"/>
      <c r="F465" s="18">
        <v>342510</v>
      </c>
      <c r="G465" s="19" t="s">
        <v>558</v>
      </c>
      <c r="H465" s="18">
        <v>1</v>
      </c>
      <c r="I465" s="18" t="s">
        <v>48</v>
      </c>
    </row>
    <row r="466" spans="1:9" ht="15.75" customHeight="1" x14ac:dyDescent="0.2">
      <c r="A466" s="18" t="s">
        <v>44</v>
      </c>
      <c r="B466" s="19" t="s">
        <v>490</v>
      </c>
      <c r="C466" s="20" t="s">
        <v>502</v>
      </c>
      <c r="D466" s="21" t="s">
        <v>77</v>
      </c>
      <c r="E466" s="105"/>
      <c r="F466" s="18">
        <v>342516</v>
      </c>
      <c r="G466" s="19" t="s">
        <v>559</v>
      </c>
      <c r="H466" s="18">
        <v>1</v>
      </c>
      <c r="I466" s="18" t="s">
        <v>146</v>
      </c>
    </row>
    <row r="467" spans="1:9" ht="18.75" customHeight="1" x14ac:dyDescent="0.2">
      <c r="A467" s="18" t="s">
        <v>44</v>
      </c>
      <c r="B467" s="19" t="s">
        <v>490</v>
      </c>
      <c r="C467" s="20" t="s">
        <v>560</v>
      </c>
      <c r="D467" s="21" t="s">
        <v>77</v>
      </c>
      <c r="E467" s="124" t="e" vm="88">
        <v>#VALUE!</v>
      </c>
      <c r="F467" s="18">
        <v>60001</v>
      </c>
      <c r="G467" s="19" t="s">
        <v>561</v>
      </c>
      <c r="H467" s="18">
        <v>1</v>
      </c>
      <c r="I467" s="18" t="s">
        <v>146</v>
      </c>
    </row>
    <row r="468" spans="1:9" ht="20.25" customHeight="1" x14ac:dyDescent="0.2">
      <c r="A468" s="18" t="s">
        <v>44</v>
      </c>
      <c r="B468" s="19" t="s">
        <v>490</v>
      </c>
      <c r="C468" s="20" t="s">
        <v>560</v>
      </c>
      <c r="D468" s="21" t="s">
        <v>77</v>
      </c>
      <c r="E468" s="124"/>
      <c r="F468" s="18">
        <v>60002</v>
      </c>
      <c r="G468" s="19" t="s">
        <v>562</v>
      </c>
      <c r="H468" s="18">
        <v>1</v>
      </c>
      <c r="I468" s="18" t="s">
        <v>146</v>
      </c>
    </row>
    <row r="469" spans="1:9" ht="21" customHeight="1" x14ac:dyDescent="0.2">
      <c r="A469" s="18" t="s">
        <v>44</v>
      </c>
      <c r="B469" s="19" t="s">
        <v>490</v>
      </c>
      <c r="C469" s="20" t="s">
        <v>560</v>
      </c>
      <c r="D469" s="21" t="s">
        <v>77</v>
      </c>
      <c r="E469" s="35" t="e" vm="89">
        <v>#VALUE!</v>
      </c>
      <c r="F469" s="18">
        <v>60003</v>
      </c>
      <c r="G469" s="19" t="s">
        <v>563</v>
      </c>
      <c r="H469" s="18">
        <v>1</v>
      </c>
      <c r="I469" s="18" t="s">
        <v>146</v>
      </c>
    </row>
    <row r="470" spans="1:9" ht="15.75" customHeight="1" x14ac:dyDescent="0.2">
      <c r="A470" s="18" t="s">
        <v>44</v>
      </c>
      <c r="B470" s="20" t="s">
        <v>564</v>
      </c>
      <c r="C470" s="20" t="s">
        <v>565</v>
      </c>
      <c r="D470" s="21" t="s">
        <v>46</v>
      </c>
      <c r="E470" s="103" t="e" vm="90">
        <v>#VALUE!</v>
      </c>
      <c r="F470" s="18">
        <v>15002</v>
      </c>
      <c r="G470" s="19" t="s">
        <v>566</v>
      </c>
      <c r="H470" s="18">
        <v>20</v>
      </c>
      <c r="I470" s="18" t="s">
        <v>48</v>
      </c>
    </row>
    <row r="471" spans="1:9" ht="15.75" customHeight="1" x14ac:dyDescent="0.2">
      <c r="A471" s="18" t="s">
        <v>44</v>
      </c>
      <c r="B471" s="20" t="s">
        <v>564</v>
      </c>
      <c r="C471" s="20" t="s">
        <v>565</v>
      </c>
      <c r="D471" s="21" t="s">
        <v>46</v>
      </c>
      <c r="E471" s="104"/>
      <c r="F471" s="18">
        <v>15003</v>
      </c>
      <c r="G471" s="19" t="s">
        <v>567</v>
      </c>
      <c r="H471" s="18">
        <v>20</v>
      </c>
      <c r="I471" s="18" t="s">
        <v>48</v>
      </c>
    </row>
    <row r="472" spans="1:9" ht="15.75" customHeight="1" x14ac:dyDescent="0.2">
      <c r="A472" s="18" t="s">
        <v>44</v>
      </c>
      <c r="B472" s="20" t="s">
        <v>564</v>
      </c>
      <c r="C472" s="20" t="s">
        <v>565</v>
      </c>
      <c r="D472" s="21" t="s">
        <v>46</v>
      </c>
      <c r="E472" s="104"/>
      <c r="F472" s="18">
        <v>15004</v>
      </c>
      <c r="G472" s="19" t="s">
        <v>568</v>
      </c>
      <c r="H472" s="18">
        <v>10</v>
      </c>
      <c r="I472" s="18" t="s">
        <v>48</v>
      </c>
    </row>
    <row r="473" spans="1:9" ht="15.75" customHeight="1" x14ac:dyDescent="0.2">
      <c r="A473" s="18" t="s">
        <v>44</v>
      </c>
      <c r="B473" s="20" t="s">
        <v>564</v>
      </c>
      <c r="C473" s="20" t="s">
        <v>565</v>
      </c>
      <c r="D473" s="21" t="s">
        <v>46</v>
      </c>
      <c r="E473" s="104"/>
      <c r="F473" s="18">
        <v>15005</v>
      </c>
      <c r="G473" s="19" t="s">
        <v>569</v>
      </c>
      <c r="H473" s="18">
        <v>1</v>
      </c>
      <c r="I473" s="18" t="s">
        <v>146</v>
      </c>
    </row>
    <row r="474" spans="1:9" ht="15.75" customHeight="1" x14ac:dyDescent="0.2">
      <c r="A474" s="18" t="s">
        <v>44</v>
      </c>
      <c r="B474" s="20" t="s">
        <v>564</v>
      </c>
      <c r="C474" s="20" t="s">
        <v>565</v>
      </c>
      <c r="D474" s="21" t="s">
        <v>46</v>
      </c>
      <c r="E474" s="104"/>
      <c r="F474" s="18">
        <v>15006</v>
      </c>
      <c r="G474" s="19" t="s">
        <v>570</v>
      </c>
      <c r="H474" s="18">
        <v>1</v>
      </c>
      <c r="I474" s="18" t="s">
        <v>146</v>
      </c>
    </row>
    <row r="475" spans="1:9" ht="15.75" customHeight="1" x14ac:dyDescent="0.2">
      <c r="A475" s="18" t="s">
        <v>44</v>
      </c>
      <c r="B475" s="20" t="s">
        <v>564</v>
      </c>
      <c r="C475" s="20" t="s">
        <v>565</v>
      </c>
      <c r="D475" s="21" t="s">
        <v>46</v>
      </c>
      <c r="E475" s="104"/>
      <c r="F475" s="18">
        <v>15007</v>
      </c>
      <c r="G475" s="19" t="s">
        <v>571</v>
      </c>
      <c r="H475" s="18">
        <v>1</v>
      </c>
      <c r="I475" s="18" t="s">
        <v>146</v>
      </c>
    </row>
    <row r="476" spans="1:9" ht="15.75" customHeight="1" x14ac:dyDescent="0.2">
      <c r="A476" s="18" t="s">
        <v>44</v>
      </c>
      <c r="B476" s="20" t="s">
        <v>564</v>
      </c>
      <c r="C476" s="20" t="s">
        <v>565</v>
      </c>
      <c r="D476" s="21" t="s">
        <v>46</v>
      </c>
      <c r="E476" s="104"/>
      <c r="F476" s="18">
        <v>15008</v>
      </c>
      <c r="G476" s="19" t="s">
        <v>572</v>
      </c>
      <c r="H476" s="18">
        <v>1</v>
      </c>
      <c r="I476" s="18" t="s">
        <v>146</v>
      </c>
    </row>
    <row r="477" spans="1:9" ht="15.75" customHeight="1" x14ac:dyDescent="0.2">
      <c r="A477" s="18" t="s">
        <v>44</v>
      </c>
      <c r="B477" s="20" t="s">
        <v>564</v>
      </c>
      <c r="C477" s="20" t="s">
        <v>565</v>
      </c>
      <c r="D477" s="21" t="s">
        <v>46</v>
      </c>
      <c r="E477" s="104"/>
      <c r="F477" s="18">
        <v>15009</v>
      </c>
      <c r="G477" s="19" t="s">
        <v>573</v>
      </c>
      <c r="H477" s="18">
        <v>1</v>
      </c>
      <c r="I477" s="18" t="s">
        <v>146</v>
      </c>
    </row>
    <row r="478" spans="1:9" ht="15" customHeight="1" x14ac:dyDescent="0.2">
      <c r="A478" s="18" t="s">
        <v>44</v>
      </c>
      <c r="B478" s="20" t="s">
        <v>564</v>
      </c>
      <c r="C478" s="20" t="s">
        <v>565</v>
      </c>
      <c r="D478" s="21" t="s">
        <v>46</v>
      </c>
      <c r="E478" s="104"/>
      <c r="F478" s="18">
        <v>15010</v>
      </c>
      <c r="G478" s="19" t="s">
        <v>574</v>
      </c>
      <c r="H478" s="18">
        <v>1</v>
      </c>
      <c r="I478" s="18" t="s">
        <v>146</v>
      </c>
    </row>
    <row r="479" spans="1:9" ht="15" customHeight="1" x14ac:dyDescent="0.2">
      <c r="A479" s="18" t="s">
        <v>44</v>
      </c>
      <c r="B479" s="20" t="s">
        <v>564</v>
      </c>
      <c r="C479" s="20" t="s">
        <v>565</v>
      </c>
      <c r="D479" s="21" t="s">
        <v>46</v>
      </c>
      <c r="E479" s="104"/>
      <c r="F479" s="18">
        <v>15011</v>
      </c>
      <c r="G479" s="19" t="s">
        <v>575</v>
      </c>
      <c r="H479" s="18">
        <v>1</v>
      </c>
      <c r="I479" s="18" t="s">
        <v>146</v>
      </c>
    </row>
    <row r="480" spans="1:9" ht="15" customHeight="1" x14ac:dyDescent="0.2">
      <c r="A480" s="18" t="s">
        <v>44</v>
      </c>
      <c r="B480" s="20" t="s">
        <v>564</v>
      </c>
      <c r="C480" s="20" t="s">
        <v>565</v>
      </c>
      <c r="D480" s="21" t="s">
        <v>46</v>
      </c>
      <c r="E480" s="104"/>
      <c r="F480" s="18">
        <v>15012</v>
      </c>
      <c r="G480" s="19" t="s">
        <v>576</v>
      </c>
      <c r="H480" s="18">
        <v>1</v>
      </c>
      <c r="I480" s="18" t="s">
        <v>146</v>
      </c>
    </row>
    <row r="481" spans="1:9" ht="15.75" customHeight="1" x14ac:dyDescent="0.2">
      <c r="A481" s="18" t="s">
        <v>44</v>
      </c>
      <c r="B481" s="20" t="s">
        <v>564</v>
      </c>
      <c r="C481" s="20" t="s">
        <v>565</v>
      </c>
      <c r="D481" s="21" t="s">
        <v>46</v>
      </c>
      <c r="E481" s="104"/>
      <c r="F481" s="18">
        <v>15102</v>
      </c>
      <c r="G481" s="19" t="s">
        <v>577</v>
      </c>
      <c r="H481" s="18">
        <v>20</v>
      </c>
      <c r="I481" s="18" t="s">
        <v>48</v>
      </c>
    </row>
    <row r="482" spans="1:9" ht="15.75" customHeight="1" x14ac:dyDescent="0.2">
      <c r="A482" s="18" t="s">
        <v>44</v>
      </c>
      <c r="B482" s="20" t="s">
        <v>564</v>
      </c>
      <c r="C482" s="20" t="s">
        <v>565</v>
      </c>
      <c r="D482" s="21" t="s">
        <v>46</v>
      </c>
      <c r="E482" s="104"/>
      <c r="F482" s="18">
        <v>15103</v>
      </c>
      <c r="G482" s="19" t="s">
        <v>578</v>
      </c>
      <c r="H482" s="18">
        <v>20</v>
      </c>
      <c r="I482" s="18" t="s">
        <v>48</v>
      </c>
    </row>
    <row r="483" spans="1:9" ht="15.75" customHeight="1" x14ac:dyDescent="0.2">
      <c r="A483" s="18" t="s">
        <v>44</v>
      </c>
      <c r="B483" s="20" t="s">
        <v>564</v>
      </c>
      <c r="C483" s="20" t="s">
        <v>565</v>
      </c>
      <c r="D483" s="21" t="s">
        <v>46</v>
      </c>
      <c r="E483" s="104"/>
      <c r="F483" s="18">
        <v>15104</v>
      </c>
      <c r="G483" s="19" t="s">
        <v>579</v>
      </c>
      <c r="H483" s="18">
        <v>10</v>
      </c>
      <c r="I483" s="18" t="s">
        <v>48</v>
      </c>
    </row>
    <row r="484" spans="1:9" ht="15.75" customHeight="1" x14ac:dyDescent="0.2">
      <c r="A484" s="18" t="s">
        <v>44</v>
      </c>
      <c r="B484" s="20" t="s">
        <v>564</v>
      </c>
      <c r="C484" s="20" t="s">
        <v>565</v>
      </c>
      <c r="D484" s="21" t="s">
        <v>46</v>
      </c>
      <c r="E484" s="104"/>
      <c r="F484" s="18">
        <v>15105</v>
      </c>
      <c r="G484" s="19" t="s">
        <v>580</v>
      </c>
      <c r="H484" s="18">
        <v>1</v>
      </c>
      <c r="I484" s="18" t="s">
        <v>146</v>
      </c>
    </row>
    <row r="485" spans="1:9" ht="15.75" customHeight="1" x14ac:dyDescent="0.2">
      <c r="A485" s="18" t="s">
        <v>44</v>
      </c>
      <c r="B485" s="20" t="s">
        <v>564</v>
      </c>
      <c r="C485" s="20" t="s">
        <v>565</v>
      </c>
      <c r="D485" s="21" t="s">
        <v>46</v>
      </c>
      <c r="E485" s="104"/>
      <c r="F485" s="18">
        <v>15106</v>
      </c>
      <c r="G485" s="19" t="s">
        <v>581</v>
      </c>
      <c r="H485" s="18">
        <v>1</v>
      </c>
      <c r="I485" s="18" t="s">
        <v>146</v>
      </c>
    </row>
    <row r="486" spans="1:9" ht="15.75" customHeight="1" x14ac:dyDescent="0.2">
      <c r="A486" s="18" t="s">
        <v>44</v>
      </c>
      <c r="B486" s="20" t="s">
        <v>564</v>
      </c>
      <c r="C486" s="20" t="s">
        <v>565</v>
      </c>
      <c r="D486" s="21" t="s">
        <v>46</v>
      </c>
      <c r="E486" s="104"/>
      <c r="F486" s="18">
        <v>15202</v>
      </c>
      <c r="G486" s="19" t="s">
        <v>582</v>
      </c>
      <c r="H486" s="18">
        <v>20</v>
      </c>
      <c r="I486" s="18" t="s">
        <v>48</v>
      </c>
    </row>
    <row r="487" spans="1:9" ht="15.75" customHeight="1" x14ac:dyDescent="0.2">
      <c r="A487" s="18" t="s">
        <v>44</v>
      </c>
      <c r="B487" s="20" t="s">
        <v>564</v>
      </c>
      <c r="C487" s="20" t="s">
        <v>565</v>
      </c>
      <c r="D487" s="21" t="s">
        <v>46</v>
      </c>
      <c r="E487" s="104"/>
      <c r="F487" s="18">
        <v>15203</v>
      </c>
      <c r="G487" s="19" t="s">
        <v>583</v>
      </c>
      <c r="H487" s="18">
        <v>20</v>
      </c>
      <c r="I487" s="18" t="s">
        <v>48</v>
      </c>
    </row>
    <row r="488" spans="1:9" ht="15.75" customHeight="1" x14ac:dyDescent="0.2">
      <c r="A488" s="18" t="s">
        <v>44</v>
      </c>
      <c r="B488" s="20" t="s">
        <v>564</v>
      </c>
      <c r="C488" s="20" t="s">
        <v>565</v>
      </c>
      <c r="D488" s="21" t="s">
        <v>46</v>
      </c>
      <c r="E488" s="104"/>
      <c r="F488" s="18">
        <v>15204</v>
      </c>
      <c r="G488" s="19" t="s">
        <v>584</v>
      </c>
      <c r="H488" s="18">
        <v>10</v>
      </c>
      <c r="I488" s="18" t="s">
        <v>48</v>
      </c>
    </row>
    <row r="489" spans="1:9" ht="15.75" customHeight="1" x14ac:dyDescent="0.2">
      <c r="A489" s="18" t="s">
        <v>44</v>
      </c>
      <c r="B489" s="20" t="s">
        <v>564</v>
      </c>
      <c r="C489" s="20" t="s">
        <v>565</v>
      </c>
      <c r="D489" s="21" t="s">
        <v>46</v>
      </c>
      <c r="E489" s="104"/>
      <c r="F489" s="18">
        <v>15205</v>
      </c>
      <c r="G489" s="19" t="s">
        <v>585</v>
      </c>
      <c r="H489" s="18">
        <v>1</v>
      </c>
      <c r="I489" s="18" t="s">
        <v>146</v>
      </c>
    </row>
    <row r="490" spans="1:9" ht="15.75" customHeight="1" x14ac:dyDescent="0.2">
      <c r="A490" s="18" t="s">
        <v>44</v>
      </c>
      <c r="B490" s="20" t="s">
        <v>564</v>
      </c>
      <c r="C490" s="20" t="s">
        <v>565</v>
      </c>
      <c r="D490" s="21" t="s">
        <v>46</v>
      </c>
      <c r="E490" s="105"/>
      <c r="F490" s="18">
        <v>15206</v>
      </c>
      <c r="G490" s="19" t="s">
        <v>586</v>
      </c>
      <c r="H490" s="18">
        <v>1</v>
      </c>
      <c r="I490" s="18" t="s">
        <v>146</v>
      </c>
    </row>
    <row r="491" spans="1:9" ht="15.75" customHeight="1" x14ac:dyDescent="0.2">
      <c r="A491" s="18" t="s">
        <v>44</v>
      </c>
      <c r="B491" s="20" t="s">
        <v>564</v>
      </c>
      <c r="C491" s="20" t="s">
        <v>565</v>
      </c>
      <c r="D491" s="21" t="s">
        <v>46</v>
      </c>
      <c r="E491" s="113" t="e" vm="90">
        <v>#VALUE!</v>
      </c>
      <c r="F491" s="18">
        <v>15045</v>
      </c>
      <c r="G491" s="19" t="s">
        <v>587</v>
      </c>
      <c r="H491" s="18">
        <v>1</v>
      </c>
      <c r="I491" s="18" t="s">
        <v>146</v>
      </c>
    </row>
    <row r="492" spans="1:9" ht="15.75" customHeight="1" x14ac:dyDescent="0.2">
      <c r="A492" s="18" t="s">
        <v>44</v>
      </c>
      <c r="B492" s="20" t="s">
        <v>564</v>
      </c>
      <c r="C492" s="20" t="s">
        <v>565</v>
      </c>
      <c r="D492" s="21" t="s">
        <v>46</v>
      </c>
      <c r="E492" s="104"/>
      <c r="F492" s="18">
        <v>15046</v>
      </c>
      <c r="G492" s="19" t="s">
        <v>588</v>
      </c>
      <c r="H492" s="18">
        <v>1</v>
      </c>
      <c r="I492" s="18" t="s">
        <v>146</v>
      </c>
    </row>
    <row r="493" spans="1:9" ht="15.75" customHeight="1" x14ac:dyDescent="0.2">
      <c r="A493" s="18" t="s">
        <v>44</v>
      </c>
      <c r="B493" s="20" t="s">
        <v>564</v>
      </c>
      <c r="C493" s="20" t="s">
        <v>565</v>
      </c>
      <c r="D493" s="21" t="s">
        <v>46</v>
      </c>
      <c r="E493" s="104"/>
      <c r="F493" s="18">
        <v>15047</v>
      </c>
      <c r="G493" s="19" t="s">
        <v>589</v>
      </c>
      <c r="H493" s="18">
        <v>1</v>
      </c>
      <c r="I493" s="18" t="s">
        <v>146</v>
      </c>
    </row>
    <row r="494" spans="1:9" ht="15.75" customHeight="1" x14ac:dyDescent="0.2">
      <c r="A494" s="18" t="s">
        <v>44</v>
      </c>
      <c r="B494" s="20" t="s">
        <v>564</v>
      </c>
      <c r="C494" s="20" t="s">
        <v>565</v>
      </c>
      <c r="D494" s="21" t="s">
        <v>46</v>
      </c>
      <c r="E494" s="104"/>
      <c r="F494" s="18">
        <v>15048</v>
      </c>
      <c r="G494" s="19" t="s">
        <v>590</v>
      </c>
      <c r="H494" s="18">
        <v>1</v>
      </c>
      <c r="I494" s="18" t="s">
        <v>146</v>
      </c>
    </row>
    <row r="495" spans="1:9" ht="15.75" customHeight="1" x14ac:dyDescent="0.2">
      <c r="A495" s="18" t="s">
        <v>44</v>
      </c>
      <c r="B495" s="20" t="s">
        <v>564</v>
      </c>
      <c r="C495" s="20" t="s">
        <v>565</v>
      </c>
      <c r="D495" s="21" t="s">
        <v>46</v>
      </c>
      <c r="E495" s="104"/>
      <c r="F495" s="18">
        <v>15049</v>
      </c>
      <c r="G495" s="19" t="s">
        <v>591</v>
      </c>
      <c r="H495" s="18">
        <v>1</v>
      </c>
      <c r="I495" s="18" t="s">
        <v>146</v>
      </c>
    </row>
    <row r="496" spans="1:9" ht="15.75" customHeight="1" x14ac:dyDescent="0.2">
      <c r="A496" s="18" t="s">
        <v>44</v>
      </c>
      <c r="B496" s="20" t="s">
        <v>564</v>
      </c>
      <c r="C496" s="20" t="s">
        <v>565</v>
      </c>
      <c r="D496" s="21" t="s">
        <v>46</v>
      </c>
      <c r="E496" s="104"/>
      <c r="F496" s="18">
        <v>15050</v>
      </c>
      <c r="G496" s="19" t="s">
        <v>592</v>
      </c>
      <c r="H496" s="18">
        <v>1</v>
      </c>
      <c r="I496" s="18" t="s">
        <v>146</v>
      </c>
    </row>
    <row r="497" spans="1:9" ht="15.75" customHeight="1" x14ac:dyDescent="0.2">
      <c r="A497" s="18" t="s">
        <v>44</v>
      </c>
      <c r="B497" s="20" t="s">
        <v>564</v>
      </c>
      <c r="C497" s="20" t="s">
        <v>565</v>
      </c>
      <c r="D497" s="21" t="s">
        <v>46</v>
      </c>
      <c r="E497" s="104"/>
      <c r="F497" s="18">
        <v>15051</v>
      </c>
      <c r="G497" s="19" t="s">
        <v>593</v>
      </c>
      <c r="H497" s="18">
        <v>1</v>
      </c>
      <c r="I497" s="18" t="s">
        <v>146</v>
      </c>
    </row>
    <row r="498" spans="1:9" ht="15.75" customHeight="1" x14ac:dyDescent="0.2">
      <c r="A498" s="18" t="s">
        <v>44</v>
      </c>
      <c r="B498" s="20" t="s">
        <v>564</v>
      </c>
      <c r="C498" s="20" t="s">
        <v>565</v>
      </c>
      <c r="D498" s="21" t="s">
        <v>46</v>
      </c>
      <c r="E498" s="104"/>
      <c r="F498" s="18">
        <v>15052</v>
      </c>
      <c r="G498" s="19" t="s">
        <v>594</v>
      </c>
      <c r="H498" s="18">
        <v>1</v>
      </c>
      <c r="I498" s="18" t="s">
        <v>146</v>
      </c>
    </row>
    <row r="499" spans="1:9" ht="15.75" customHeight="1" x14ac:dyDescent="0.2">
      <c r="A499" s="18" t="s">
        <v>44</v>
      </c>
      <c r="B499" s="20" t="s">
        <v>564</v>
      </c>
      <c r="C499" s="20" t="s">
        <v>565</v>
      </c>
      <c r="D499" s="21" t="s">
        <v>46</v>
      </c>
      <c r="E499" s="104"/>
      <c r="F499" s="18">
        <v>15053</v>
      </c>
      <c r="G499" s="19" t="s">
        <v>595</v>
      </c>
      <c r="H499" s="18">
        <v>1</v>
      </c>
      <c r="I499" s="18" t="s">
        <v>146</v>
      </c>
    </row>
    <row r="500" spans="1:9" ht="15.75" customHeight="1" x14ac:dyDescent="0.2">
      <c r="A500" s="18" t="s">
        <v>44</v>
      </c>
      <c r="B500" s="20" t="s">
        <v>564</v>
      </c>
      <c r="C500" s="20" t="s">
        <v>565</v>
      </c>
      <c r="D500" s="21" t="s">
        <v>46</v>
      </c>
      <c r="E500" s="105"/>
      <c r="F500" s="18">
        <v>15054</v>
      </c>
      <c r="G500" s="19" t="s">
        <v>596</v>
      </c>
      <c r="H500" s="18">
        <v>1</v>
      </c>
      <c r="I500" s="18" t="s">
        <v>146</v>
      </c>
    </row>
    <row r="501" spans="1:9" ht="15.75" customHeight="1" x14ac:dyDescent="0.2">
      <c r="A501" s="18" t="s">
        <v>44</v>
      </c>
      <c r="B501" s="20" t="s">
        <v>564</v>
      </c>
      <c r="C501" s="20" t="s">
        <v>597</v>
      </c>
      <c r="D501" s="21" t="s">
        <v>319</v>
      </c>
      <c r="E501" s="103" t="e" vm="91">
        <v>#VALUE!</v>
      </c>
      <c r="F501" s="18">
        <v>351901</v>
      </c>
      <c r="G501" s="19" t="s">
        <v>598</v>
      </c>
      <c r="H501" s="18">
        <v>10</v>
      </c>
      <c r="I501" s="18" t="s">
        <v>48</v>
      </c>
    </row>
    <row r="502" spans="1:9" ht="15.75" customHeight="1" x14ac:dyDescent="0.2">
      <c r="A502" s="18" t="s">
        <v>44</v>
      </c>
      <c r="B502" s="20" t="s">
        <v>564</v>
      </c>
      <c r="C502" s="20" t="s">
        <v>597</v>
      </c>
      <c r="D502" s="21" t="s">
        <v>319</v>
      </c>
      <c r="E502" s="104"/>
      <c r="F502" s="18">
        <v>351902</v>
      </c>
      <c r="G502" s="19" t="s">
        <v>599</v>
      </c>
      <c r="H502" s="18">
        <v>10</v>
      </c>
      <c r="I502" s="18" t="s">
        <v>48</v>
      </c>
    </row>
    <row r="503" spans="1:9" ht="15.75" customHeight="1" x14ac:dyDescent="0.2">
      <c r="A503" s="18" t="s">
        <v>44</v>
      </c>
      <c r="B503" s="20" t="s">
        <v>564</v>
      </c>
      <c r="C503" s="20" t="s">
        <v>597</v>
      </c>
      <c r="D503" s="21" t="s">
        <v>319</v>
      </c>
      <c r="E503" s="104"/>
      <c r="F503" s="18">
        <v>351903</v>
      </c>
      <c r="G503" s="19" t="s">
        <v>600</v>
      </c>
      <c r="H503" s="18">
        <v>10</v>
      </c>
      <c r="I503" s="18" t="s">
        <v>48</v>
      </c>
    </row>
    <row r="504" spans="1:9" ht="15.75" customHeight="1" x14ac:dyDescent="0.2">
      <c r="A504" s="18" t="s">
        <v>44</v>
      </c>
      <c r="B504" s="20" t="s">
        <v>564</v>
      </c>
      <c r="C504" s="20" t="s">
        <v>597</v>
      </c>
      <c r="D504" s="21" t="s">
        <v>319</v>
      </c>
      <c r="E504" s="104"/>
      <c r="F504" s="18">
        <v>351904</v>
      </c>
      <c r="G504" s="19" t="s">
        <v>601</v>
      </c>
      <c r="H504" s="18">
        <v>5</v>
      </c>
      <c r="I504" s="18" t="s">
        <v>48</v>
      </c>
    </row>
    <row r="505" spans="1:9" ht="15.75" customHeight="1" x14ac:dyDescent="0.2">
      <c r="A505" s="18" t="s">
        <v>44</v>
      </c>
      <c r="B505" s="20" t="s">
        <v>564</v>
      </c>
      <c r="C505" s="20" t="s">
        <v>597</v>
      </c>
      <c r="D505" s="21" t="s">
        <v>319</v>
      </c>
      <c r="E505" s="104"/>
      <c r="F505" s="18">
        <v>351905</v>
      </c>
      <c r="G505" s="19" t="s">
        <v>602</v>
      </c>
      <c r="H505" s="18">
        <v>5</v>
      </c>
      <c r="I505" s="18" t="s">
        <v>48</v>
      </c>
    </row>
    <row r="506" spans="1:9" ht="15.75" customHeight="1" x14ac:dyDescent="0.2">
      <c r="A506" s="18" t="s">
        <v>44</v>
      </c>
      <c r="B506" s="20" t="s">
        <v>564</v>
      </c>
      <c r="C506" s="20" t="s">
        <v>597</v>
      </c>
      <c r="D506" s="21" t="s">
        <v>319</v>
      </c>
      <c r="E506" s="105"/>
      <c r="F506" s="18">
        <v>351906</v>
      </c>
      <c r="G506" s="19" t="s">
        <v>603</v>
      </c>
      <c r="H506" s="18">
        <v>4</v>
      </c>
      <c r="I506" s="18" t="s">
        <v>48</v>
      </c>
    </row>
    <row r="507" spans="1:9" ht="15.75" customHeight="1" x14ac:dyDescent="0.2">
      <c r="A507" s="18" t="s">
        <v>44</v>
      </c>
      <c r="B507" s="20" t="s">
        <v>564</v>
      </c>
      <c r="C507" s="20" t="s">
        <v>597</v>
      </c>
      <c r="D507" s="21" t="s">
        <v>319</v>
      </c>
      <c r="E507" s="111" t="e" vm="92">
        <v>#VALUE!</v>
      </c>
      <c r="F507" s="23">
        <v>351931</v>
      </c>
      <c r="G507" s="19" t="s">
        <v>604</v>
      </c>
      <c r="H507" s="18">
        <v>10</v>
      </c>
      <c r="I507" s="18" t="s">
        <v>48</v>
      </c>
    </row>
    <row r="508" spans="1:9" ht="15.75" customHeight="1" x14ac:dyDescent="0.2">
      <c r="A508" s="18" t="s">
        <v>44</v>
      </c>
      <c r="B508" s="20" t="s">
        <v>564</v>
      </c>
      <c r="C508" s="20" t="s">
        <v>597</v>
      </c>
      <c r="D508" s="21" t="s">
        <v>319</v>
      </c>
      <c r="E508" s="111"/>
      <c r="F508" s="23">
        <v>351932</v>
      </c>
      <c r="G508" s="19" t="s">
        <v>605</v>
      </c>
      <c r="H508" s="18">
        <v>10</v>
      </c>
      <c r="I508" s="18" t="s">
        <v>48</v>
      </c>
    </row>
    <row r="509" spans="1:9" ht="15.75" customHeight="1" x14ac:dyDescent="0.2">
      <c r="A509" s="18" t="s">
        <v>44</v>
      </c>
      <c r="B509" s="20" t="s">
        <v>564</v>
      </c>
      <c r="C509" s="20" t="s">
        <v>597</v>
      </c>
      <c r="D509" s="21" t="s">
        <v>319</v>
      </c>
      <c r="E509" s="111"/>
      <c r="F509" s="23">
        <v>351933</v>
      </c>
      <c r="G509" s="19" t="s">
        <v>606</v>
      </c>
      <c r="H509" s="18">
        <v>10</v>
      </c>
      <c r="I509" s="18" t="s">
        <v>48</v>
      </c>
    </row>
    <row r="510" spans="1:9" ht="15.75" customHeight="1" x14ac:dyDescent="0.2">
      <c r="A510" s="18" t="s">
        <v>44</v>
      </c>
      <c r="B510" s="20" t="s">
        <v>564</v>
      </c>
      <c r="C510" s="20" t="s">
        <v>597</v>
      </c>
      <c r="D510" s="21" t="s">
        <v>319</v>
      </c>
      <c r="E510" s="111"/>
      <c r="F510" s="23">
        <v>351934</v>
      </c>
      <c r="G510" s="19" t="s">
        <v>607</v>
      </c>
      <c r="H510" s="18">
        <v>5</v>
      </c>
      <c r="I510" s="18" t="s">
        <v>48</v>
      </c>
    </row>
    <row r="511" spans="1:9" ht="15.75" customHeight="1" x14ac:dyDescent="0.2">
      <c r="A511" s="18" t="s">
        <v>44</v>
      </c>
      <c r="B511" s="20" t="s">
        <v>564</v>
      </c>
      <c r="C511" s="20" t="s">
        <v>597</v>
      </c>
      <c r="D511" s="21" t="s">
        <v>319</v>
      </c>
      <c r="E511" s="111"/>
      <c r="F511" s="23">
        <v>351935</v>
      </c>
      <c r="G511" s="19" t="s">
        <v>608</v>
      </c>
      <c r="H511" s="18">
        <v>5</v>
      </c>
      <c r="I511" s="18" t="s">
        <v>48</v>
      </c>
    </row>
    <row r="512" spans="1:9" ht="15.75" customHeight="1" x14ac:dyDescent="0.2">
      <c r="A512" s="18" t="s">
        <v>44</v>
      </c>
      <c r="B512" s="20" t="s">
        <v>564</v>
      </c>
      <c r="C512" s="20" t="s">
        <v>597</v>
      </c>
      <c r="D512" s="21" t="s">
        <v>319</v>
      </c>
      <c r="E512" s="111"/>
      <c r="F512" s="23">
        <v>351936</v>
      </c>
      <c r="G512" s="19" t="s">
        <v>609</v>
      </c>
      <c r="H512" s="18">
        <v>4</v>
      </c>
      <c r="I512" s="18" t="s">
        <v>48</v>
      </c>
    </row>
    <row r="513" spans="1:9" ht="15.75" customHeight="1" x14ac:dyDescent="0.2">
      <c r="A513" s="18" t="s">
        <v>44</v>
      </c>
      <c r="B513" s="20" t="s">
        <v>564</v>
      </c>
      <c r="C513" s="20" t="s">
        <v>597</v>
      </c>
      <c r="D513" s="21" t="s">
        <v>319</v>
      </c>
      <c r="E513" s="111"/>
      <c r="F513" s="23">
        <v>351937</v>
      </c>
      <c r="G513" s="19" t="s">
        <v>610</v>
      </c>
      <c r="H513" s="18">
        <v>4</v>
      </c>
      <c r="I513" s="18" t="s">
        <v>48</v>
      </c>
    </row>
    <row r="514" spans="1:9" ht="15.75" customHeight="1" x14ac:dyDescent="0.2">
      <c r="A514" s="18" t="s">
        <v>44</v>
      </c>
      <c r="B514" s="20" t="s">
        <v>564</v>
      </c>
      <c r="C514" s="20" t="s">
        <v>597</v>
      </c>
      <c r="D514" s="21" t="s">
        <v>319</v>
      </c>
      <c r="E514" s="111"/>
      <c r="F514" s="23">
        <v>351938</v>
      </c>
      <c r="G514" s="19" t="s">
        <v>611</v>
      </c>
      <c r="H514" s="18">
        <v>4</v>
      </c>
      <c r="I514" s="18" t="s">
        <v>48</v>
      </c>
    </row>
    <row r="515" spans="1:9" ht="15.75" customHeight="1" x14ac:dyDescent="0.2">
      <c r="A515" s="18" t="s">
        <v>44</v>
      </c>
      <c r="B515" s="20" t="s">
        <v>564</v>
      </c>
      <c r="C515" s="20" t="s">
        <v>597</v>
      </c>
      <c r="D515" s="21" t="s">
        <v>319</v>
      </c>
      <c r="E515" s="111"/>
      <c r="F515" s="23">
        <v>351939</v>
      </c>
      <c r="G515" s="19" t="s">
        <v>612</v>
      </c>
      <c r="H515" s="18">
        <v>4</v>
      </c>
      <c r="I515" s="18" t="s">
        <v>48</v>
      </c>
    </row>
    <row r="516" spans="1:9" ht="15.75" customHeight="1" x14ac:dyDescent="0.2">
      <c r="A516" s="18" t="s">
        <v>44</v>
      </c>
      <c r="B516" s="20" t="s">
        <v>564</v>
      </c>
      <c r="C516" s="20" t="s">
        <v>597</v>
      </c>
      <c r="D516" s="21" t="s">
        <v>319</v>
      </c>
      <c r="E516" s="111" t="e" vm="93">
        <v>#VALUE!</v>
      </c>
      <c r="F516" s="23">
        <v>351911</v>
      </c>
      <c r="G516" s="19" t="s">
        <v>613</v>
      </c>
      <c r="H516" s="18">
        <v>10</v>
      </c>
      <c r="I516" s="18" t="s">
        <v>146</v>
      </c>
    </row>
    <row r="517" spans="1:9" ht="15.75" customHeight="1" x14ac:dyDescent="0.2">
      <c r="A517" s="18" t="s">
        <v>44</v>
      </c>
      <c r="B517" s="20" t="s">
        <v>564</v>
      </c>
      <c r="C517" s="20" t="s">
        <v>597</v>
      </c>
      <c r="D517" s="21" t="s">
        <v>319</v>
      </c>
      <c r="E517" s="111"/>
      <c r="F517" s="23">
        <v>351912</v>
      </c>
      <c r="G517" s="19" t="s">
        <v>614</v>
      </c>
      <c r="H517" s="18">
        <v>10</v>
      </c>
      <c r="I517" s="18" t="s">
        <v>146</v>
      </c>
    </row>
    <row r="518" spans="1:9" ht="15.75" customHeight="1" x14ac:dyDescent="0.2">
      <c r="A518" s="18" t="s">
        <v>44</v>
      </c>
      <c r="B518" s="20" t="s">
        <v>564</v>
      </c>
      <c r="C518" s="20" t="s">
        <v>597</v>
      </c>
      <c r="D518" s="21" t="s">
        <v>319</v>
      </c>
      <c r="E518" s="111"/>
      <c r="F518" s="23">
        <v>351913</v>
      </c>
      <c r="G518" s="19" t="s">
        <v>615</v>
      </c>
      <c r="H518" s="18">
        <v>5</v>
      </c>
      <c r="I518" s="18" t="s">
        <v>146</v>
      </c>
    </row>
    <row r="519" spans="1:9" ht="15.75" customHeight="1" x14ac:dyDescent="0.2">
      <c r="A519" s="18" t="s">
        <v>44</v>
      </c>
      <c r="B519" s="20" t="s">
        <v>564</v>
      </c>
      <c r="C519" s="20" t="s">
        <v>597</v>
      </c>
      <c r="D519" s="21" t="s">
        <v>319</v>
      </c>
      <c r="E519" s="111"/>
      <c r="F519" s="23">
        <v>351914</v>
      </c>
      <c r="G519" s="19" t="s">
        <v>616</v>
      </c>
      <c r="H519" s="18">
        <v>1</v>
      </c>
      <c r="I519" s="18" t="s">
        <v>146</v>
      </c>
    </row>
    <row r="520" spans="1:9" ht="15.75" customHeight="1" x14ac:dyDescent="0.2">
      <c r="A520" s="18" t="s">
        <v>44</v>
      </c>
      <c r="B520" s="20" t="s">
        <v>564</v>
      </c>
      <c r="C520" s="20" t="s">
        <v>597</v>
      </c>
      <c r="D520" s="21" t="s">
        <v>319</v>
      </c>
      <c r="E520" s="111"/>
      <c r="F520" s="23">
        <v>351915</v>
      </c>
      <c r="G520" s="19" t="s">
        <v>617</v>
      </c>
      <c r="H520" s="18">
        <v>1</v>
      </c>
      <c r="I520" s="18" t="s">
        <v>146</v>
      </c>
    </row>
    <row r="521" spans="1:9" ht="15.75" customHeight="1" x14ac:dyDescent="0.2">
      <c r="A521" s="18" t="s">
        <v>44</v>
      </c>
      <c r="B521" s="20" t="s">
        <v>564</v>
      </c>
      <c r="C521" s="20" t="s">
        <v>597</v>
      </c>
      <c r="D521" s="21" t="s">
        <v>319</v>
      </c>
      <c r="E521" s="111"/>
      <c r="F521" s="23">
        <v>351916</v>
      </c>
      <c r="G521" s="19" t="s">
        <v>618</v>
      </c>
      <c r="H521" s="18">
        <v>1</v>
      </c>
      <c r="I521" s="18" t="s">
        <v>146</v>
      </c>
    </row>
    <row r="522" spans="1:9" ht="15.75" customHeight="1" x14ac:dyDescent="0.2">
      <c r="A522" s="18" t="s">
        <v>44</v>
      </c>
      <c r="B522" s="20" t="s">
        <v>564</v>
      </c>
      <c r="C522" s="20" t="s">
        <v>597</v>
      </c>
      <c r="D522" s="21" t="s">
        <v>319</v>
      </c>
      <c r="E522" s="111" t="e" vm="94">
        <v>#VALUE!</v>
      </c>
      <c r="F522" s="23">
        <v>351921</v>
      </c>
      <c r="G522" s="19" t="s">
        <v>619</v>
      </c>
      <c r="H522" s="18">
        <v>10</v>
      </c>
      <c r="I522" s="18" t="s">
        <v>146</v>
      </c>
    </row>
    <row r="523" spans="1:9" ht="15.75" customHeight="1" x14ac:dyDescent="0.2">
      <c r="A523" s="18" t="s">
        <v>44</v>
      </c>
      <c r="B523" s="20" t="s">
        <v>564</v>
      </c>
      <c r="C523" s="20" t="s">
        <v>597</v>
      </c>
      <c r="D523" s="21" t="s">
        <v>319</v>
      </c>
      <c r="E523" s="111"/>
      <c r="F523" s="23">
        <v>351922</v>
      </c>
      <c r="G523" s="19" t="s">
        <v>620</v>
      </c>
      <c r="H523" s="18">
        <v>7</v>
      </c>
      <c r="I523" s="18" t="s">
        <v>146</v>
      </c>
    </row>
    <row r="524" spans="1:9" ht="15.75" customHeight="1" x14ac:dyDescent="0.2">
      <c r="A524" s="18" t="s">
        <v>44</v>
      </c>
      <c r="B524" s="20" t="s">
        <v>564</v>
      </c>
      <c r="C524" s="20" t="s">
        <v>597</v>
      </c>
      <c r="D524" s="21" t="s">
        <v>319</v>
      </c>
      <c r="E524" s="111"/>
      <c r="F524" s="23">
        <v>351923</v>
      </c>
      <c r="G524" s="19" t="s">
        <v>621</v>
      </c>
      <c r="H524" s="18">
        <v>5</v>
      </c>
      <c r="I524" s="18" t="s">
        <v>146</v>
      </c>
    </row>
    <row r="525" spans="1:9" ht="15.75" customHeight="1" x14ac:dyDescent="0.2">
      <c r="A525" s="18" t="s">
        <v>44</v>
      </c>
      <c r="B525" s="20" t="s">
        <v>564</v>
      </c>
      <c r="C525" s="20" t="s">
        <v>597</v>
      </c>
      <c r="D525" s="21" t="s">
        <v>319</v>
      </c>
      <c r="E525" s="111"/>
      <c r="F525" s="23">
        <v>351924</v>
      </c>
      <c r="G525" s="19" t="s">
        <v>622</v>
      </c>
      <c r="H525" s="18">
        <v>1</v>
      </c>
      <c r="I525" s="18" t="s">
        <v>146</v>
      </c>
    </row>
    <row r="526" spans="1:9" ht="15.75" customHeight="1" x14ac:dyDescent="0.2">
      <c r="A526" s="18" t="s">
        <v>44</v>
      </c>
      <c r="B526" s="20" t="s">
        <v>564</v>
      </c>
      <c r="C526" s="20" t="s">
        <v>597</v>
      </c>
      <c r="D526" s="21" t="s">
        <v>319</v>
      </c>
      <c r="E526" s="111"/>
      <c r="F526" s="23">
        <v>351925</v>
      </c>
      <c r="G526" s="19" t="s">
        <v>623</v>
      </c>
      <c r="H526" s="18">
        <v>1</v>
      </c>
      <c r="I526" s="18" t="s">
        <v>146</v>
      </c>
    </row>
    <row r="527" spans="1:9" ht="15.75" customHeight="1" x14ac:dyDescent="0.2">
      <c r="A527" s="18" t="s">
        <v>44</v>
      </c>
      <c r="B527" s="20" t="s">
        <v>564</v>
      </c>
      <c r="C527" s="20" t="s">
        <v>597</v>
      </c>
      <c r="D527" s="21" t="s">
        <v>319</v>
      </c>
      <c r="E527" s="111"/>
      <c r="F527" s="23">
        <v>351926</v>
      </c>
      <c r="G527" s="19" t="s">
        <v>624</v>
      </c>
      <c r="H527" s="18">
        <v>1</v>
      </c>
      <c r="I527" s="18" t="s">
        <v>146</v>
      </c>
    </row>
    <row r="528" spans="1:9" ht="15.75" customHeight="1" x14ac:dyDescent="0.2">
      <c r="A528" s="18" t="s">
        <v>44</v>
      </c>
      <c r="B528" s="20" t="s">
        <v>564</v>
      </c>
      <c r="C528" s="20" t="s">
        <v>625</v>
      </c>
      <c r="D528" s="21" t="s">
        <v>77</v>
      </c>
      <c r="E528" s="103" t="e" vm="95">
        <v>#VALUE!</v>
      </c>
      <c r="F528" s="18">
        <v>350902</v>
      </c>
      <c r="G528" s="19" t="s">
        <v>626</v>
      </c>
      <c r="H528" s="18">
        <v>12</v>
      </c>
      <c r="I528" s="18" t="s">
        <v>48</v>
      </c>
    </row>
    <row r="529" spans="1:9" ht="15.75" customHeight="1" x14ac:dyDescent="0.2">
      <c r="A529" s="18" t="s">
        <v>44</v>
      </c>
      <c r="B529" s="20" t="s">
        <v>564</v>
      </c>
      <c r="C529" s="20" t="s">
        <v>625</v>
      </c>
      <c r="D529" s="21" t="s">
        <v>77</v>
      </c>
      <c r="E529" s="104"/>
      <c r="F529" s="18">
        <v>350903</v>
      </c>
      <c r="G529" s="19" t="s">
        <v>627</v>
      </c>
      <c r="H529" s="18">
        <v>9</v>
      </c>
      <c r="I529" s="18" t="s">
        <v>48</v>
      </c>
    </row>
    <row r="530" spans="1:9" ht="15.75" customHeight="1" x14ac:dyDescent="0.2">
      <c r="A530" s="18" t="s">
        <v>44</v>
      </c>
      <c r="B530" s="20" t="s">
        <v>564</v>
      </c>
      <c r="C530" s="20" t="s">
        <v>625</v>
      </c>
      <c r="D530" s="21" t="s">
        <v>77</v>
      </c>
      <c r="E530" s="104"/>
      <c r="F530" s="18">
        <v>350904</v>
      </c>
      <c r="G530" s="19" t="s">
        <v>628</v>
      </c>
      <c r="H530" s="18">
        <v>9</v>
      </c>
      <c r="I530" s="18" t="s">
        <v>48</v>
      </c>
    </row>
    <row r="531" spans="1:9" ht="15.75" customHeight="1" x14ac:dyDescent="0.2">
      <c r="A531" s="18" t="s">
        <v>44</v>
      </c>
      <c r="B531" s="20" t="s">
        <v>564</v>
      </c>
      <c r="C531" s="20" t="s">
        <v>625</v>
      </c>
      <c r="D531" s="21" t="s">
        <v>77</v>
      </c>
      <c r="E531" s="104"/>
      <c r="F531" s="18">
        <v>350905</v>
      </c>
      <c r="G531" s="19" t="s">
        <v>629</v>
      </c>
      <c r="H531" s="18">
        <v>1</v>
      </c>
      <c r="I531" s="18" t="s">
        <v>48</v>
      </c>
    </row>
    <row r="532" spans="1:9" ht="15.75" customHeight="1" x14ac:dyDescent="0.2">
      <c r="A532" s="18" t="s">
        <v>44</v>
      </c>
      <c r="B532" s="20" t="s">
        <v>564</v>
      </c>
      <c r="C532" s="20" t="s">
        <v>625</v>
      </c>
      <c r="D532" s="21" t="s">
        <v>77</v>
      </c>
      <c r="E532" s="104"/>
      <c r="F532" s="18">
        <v>350906</v>
      </c>
      <c r="G532" s="19" t="s">
        <v>630</v>
      </c>
      <c r="H532" s="18">
        <v>1</v>
      </c>
      <c r="I532" s="18" t="s">
        <v>48</v>
      </c>
    </row>
    <row r="533" spans="1:9" ht="15.75" customHeight="1" x14ac:dyDescent="0.2">
      <c r="A533" s="18" t="s">
        <v>44</v>
      </c>
      <c r="B533" s="20" t="s">
        <v>564</v>
      </c>
      <c r="C533" s="20" t="s">
        <v>625</v>
      </c>
      <c r="D533" s="21" t="s">
        <v>77</v>
      </c>
      <c r="E533" s="105"/>
      <c r="F533" s="18">
        <v>350907</v>
      </c>
      <c r="G533" s="19" t="s">
        <v>631</v>
      </c>
      <c r="H533" s="18">
        <v>1</v>
      </c>
      <c r="I533" s="18" t="s">
        <v>146</v>
      </c>
    </row>
    <row r="534" spans="1:9" ht="15.75" customHeight="1" x14ac:dyDescent="0.2">
      <c r="A534" s="18" t="s">
        <v>44</v>
      </c>
      <c r="B534" s="20" t="s">
        <v>564</v>
      </c>
      <c r="C534" s="20" t="s">
        <v>625</v>
      </c>
      <c r="D534" s="21" t="s">
        <v>77</v>
      </c>
      <c r="E534" s="103" t="e" vm="96">
        <v>#VALUE!</v>
      </c>
      <c r="F534" s="18">
        <v>351002</v>
      </c>
      <c r="G534" s="19" t="s">
        <v>632</v>
      </c>
      <c r="H534" s="18">
        <v>7</v>
      </c>
      <c r="I534" s="18" t="s">
        <v>48</v>
      </c>
    </row>
    <row r="535" spans="1:9" ht="15.75" customHeight="1" x14ac:dyDescent="0.2">
      <c r="A535" s="18" t="s">
        <v>44</v>
      </c>
      <c r="B535" s="20" t="s">
        <v>564</v>
      </c>
      <c r="C535" s="20" t="s">
        <v>625</v>
      </c>
      <c r="D535" s="21" t="s">
        <v>77</v>
      </c>
      <c r="E535" s="104"/>
      <c r="F535" s="18">
        <v>351003</v>
      </c>
      <c r="G535" s="19" t="s">
        <v>633</v>
      </c>
      <c r="H535" s="18">
        <v>7</v>
      </c>
      <c r="I535" s="18" t="s">
        <v>48</v>
      </c>
    </row>
    <row r="536" spans="1:9" ht="15.75" customHeight="1" x14ac:dyDescent="0.2">
      <c r="A536" s="18" t="s">
        <v>44</v>
      </c>
      <c r="B536" s="20" t="s">
        <v>564</v>
      </c>
      <c r="C536" s="20" t="s">
        <v>625</v>
      </c>
      <c r="D536" s="21" t="s">
        <v>77</v>
      </c>
      <c r="E536" s="105"/>
      <c r="F536" s="18">
        <v>351004</v>
      </c>
      <c r="G536" s="19" t="s">
        <v>634</v>
      </c>
      <c r="H536" s="18">
        <v>6</v>
      </c>
      <c r="I536" s="18" t="s">
        <v>48</v>
      </c>
    </row>
    <row r="537" spans="1:9" ht="13.5" customHeight="1" x14ac:dyDescent="0.2">
      <c r="A537" s="18" t="s">
        <v>44</v>
      </c>
      <c r="B537" s="19" t="s">
        <v>564</v>
      </c>
      <c r="C537" s="20" t="s">
        <v>625</v>
      </c>
      <c r="D537" s="21" t="s">
        <v>77</v>
      </c>
      <c r="E537" s="103" t="e" vm="97">
        <v>#VALUE!</v>
      </c>
      <c r="F537" s="18">
        <v>352001</v>
      </c>
      <c r="G537" s="19" t="s">
        <v>635</v>
      </c>
      <c r="H537" s="18">
        <v>100</v>
      </c>
      <c r="I537" s="18" t="s">
        <v>48</v>
      </c>
    </row>
    <row r="538" spans="1:9" ht="13.5" customHeight="1" x14ac:dyDescent="0.2">
      <c r="A538" s="18" t="s">
        <v>44</v>
      </c>
      <c r="B538" s="19" t="s">
        <v>564</v>
      </c>
      <c r="C538" s="20" t="s">
        <v>625</v>
      </c>
      <c r="D538" s="21" t="s">
        <v>77</v>
      </c>
      <c r="E538" s="104"/>
      <c r="F538" s="18">
        <v>352002</v>
      </c>
      <c r="G538" s="19" t="s">
        <v>636</v>
      </c>
      <c r="H538" s="18">
        <v>100</v>
      </c>
      <c r="I538" s="18" t="s">
        <v>48</v>
      </c>
    </row>
    <row r="539" spans="1:9" ht="13.5" customHeight="1" x14ac:dyDescent="0.2">
      <c r="A539" s="18" t="s">
        <v>44</v>
      </c>
      <c r="B539" s="19" t="s">
        <v>564</v>
      </c>
      <c r="C539" s="20" t="s">
        <v>625</v>
      </c>
      <c r="D539" s="21" t="s">
        <v>77</v>
      </c>
      <c r="E539" s="104"/>
      <c r="F539" s="18">
        <v>352003</v>
      </c>
      <c r="G539" s="19" t="s">
        <v>637</v>
      </c>
      <c r="H539" s="18">
        <v>80</v>
      </c>
      <c r="I539" s="18" t="s">
        <v>48</v>
      </c>
    </row>
    <row r="540" spans="1:9" ht="13.5" customHeight="1" x14ac:dyDescent="0.2">
      <c r="A540" s="18" t="s">
        <v>44</v>
      </c>
      <c r="B540" s="19" t="s">
        <v>564</v>
      </c>
      <c r="C540" s="20" t="s">
        <v>625</v>
      </c>
      <c r="D540" s="21" t="s">
        <v>77</v>
      </c>
      <c r="E540" s="104"/>
      <c r="F540" s="18">
        <v>352004</v>
      </c>
      <c r="G540" s="19" t="s">
        <v>638</v>
      </c>
      <c r="H540" s="18">
        <v>60</v>
      </c>
      <c r="I540" s="18" t="s">
        <v>48</v>
      </c>
    </row>
    <row r="541" spans="1:9" ht="13.5" customHeight="1" x14ac:dyDescent="0.2">
      <c r="A541" s="18" t="s">
        <v>44</v>
      </c>
      <c r="B541" s="19" t="s">
        <v>564</v>
      </c>
      <c r="C541" s="20" t="s">
        <v>625</v>
      </c>
      <c r="D541" s="21" t="s">
        <v>77</v>
      </c>
      <c r="E541" s="105"/>
      <c r="F541" s="18">
        <v>352005</v>
      </c>
      <c r="G541" s="19" t="s">
        <v>639</v>
      </c>
      <c r="H541" s="18">
        <v>30</v>
      </c>
      <c r="I541" s="18" t="s">
        <v>48</v>
      </c>
    </row>
    <row r="542" spans="1:9" ht="15.75" customHeight="1" x14ac:dyDescent="0.2">
      <c r="A542" s="18" t="s">
        <v>44</v>
      </c>
      <c r="B542" s="19" t="s">
        <v>564</v>
      </c>
      <c r="C542" s="20" t="s">
        <v>625</v>
      </c>
      <c r="D542" s="21" t="s">
        <v>77</v>
      </c>
      <c r="E542" s="103" t="e" vm="98">
        <v>#VALUE!</v>
      </c>
      <c r="F542" s="18">
        <v>350602</v>
      </c>
      <c r="G542" s="19" t="s">
        <v>640</v>
      </c>
      <c r="H542" s="18">
        <v>50</v>
      </c>
      <c r="I542" s="18" t="s">
        <v>48</v>
      </c>
    </row>
    <row r="543" spans="1:9" ht="15.75" customHeight="1" x14ac:dyDescent="0.2">
      <c r="A543" s="18" t="s">
        <v>44</v>
      </c>
      <c r="B543" s="19" t="s">
        <v>564</v>
      </c>
      <c r="C543" s="20" t="s">
        <v>625</v>
      </c>
      <c r="D543" s="21" t="s">
        <v>77</v>
      </c>
      <c r="E543" s="104"/>
      <c r="F543" s="18">
        <v>350603</v>
      </c>
      <c r="G543" s="19" t="s">
        <v>641</v>
      </c>
      <c r="H543" s="18">
        <v>40</v>
      </c>
      <c r="I543" s="18" t="s">
        <v>48</v>
      </c>
    </row>
    <row r="544" spans="1:9" ht="15.75" customHeight="1" x14ac:dyDescent="0.2">
      <c r="A544" s="18" t="s">
        <v>44</v>
      </c>
      <c r="B544" s="19" t="s">
        <v>564</v>
      </c>
      <c r="C544" s="20" t="s">
        <v>625</v>
      </c>
      <c r="D544" s="21" t="s">
        <v>77</v>
      </c>
      <c r="E544" s="104"/>
      <c r="F544" s="18">
        <v>350604</v>
      </c>
      <c r="G544" s="19" t="s">
        <v>642</v>
      </c>
      <c r="H544" s="18">
        <v>28</v>
      </c>
      <c r="I544" s="18" t="s">
        <v>48</v>
      </c>
    </row>
    <row r="545" spans="1:9" ht="15.75" customHeight="1" x14ac:dyDescent="0.2">
      <c r="A545" s="18" t="s">
        <v>44</v>
      </c>
      <c r="B545" s="19" t="s">
        <v>564</v>
      </c>
      <c r="C545" s="20" t="s">
        <v>625</v>
      </c>
      <c r="D545" s="21" t="s">
        <v>77</v>
      </c>
      <c r="E545" s="104"/>
      <c r="F545" s="18">
        <v>350605</v>
      </c>
      <c r="G545" s="19" t="s">
        <v>643</v>
      </c>
      <c r="H545" s="18">
        <v>20</v>
      </c>
      <c r="I545" s="18" t="s">
        <v>48</v>
      </c>
    </row>
    <row r="546" spans="1:9" ht="15.75" customHeight="1" x14ac:dyDescent="0.2">
      <c r="A546" s="18" t="s">
        <v>44</v>
      </c>
      <c r="B546" s="19" t="s">
        <v>564</v>
      </c>
      <c r="C546" s="20" t="s">
        <v>625</v>
      </c>
      <c r="D546" s="21" t="s">
        <v>77</v>
      </c>
      <c r="E546" s="104"/>
      <c r="F546" s="18">
        <v>350606</v>
      </c>
      <c r="G546" s="19" t="s">
        <v>644</v>
      </c>
      <c r="H546" s="18">
        <v>16</v>
      </c>
      <c r="I546" s="18" t="s">
        <v>48</v>
      </c>
    </row>
    <row r="547" spans="1:9" ht="15.75" customHeight="1" x14ac:dyDescent="0.2">
      <c r="A547" s="18" t="s">
        <v>44</v>
      </c>
      <c r="B547" s="19" t="s">
        <v>564</v>
      </c>
      <c r="C547" s="20" t="s">
        <v>625</v>
      </c>
      <c r="D547" s="21" t="s">
        <v>77</v>
      </c>
      <c r="E547" s="104"/>
      <c r="F547" s="18">
        <v>350607</v>
      </c>
      <c r="G547" s="19" t="s">
        <v>645</v>
      </c>
      <c r="H547" s="18">
        <v>10</v>
      </c>
      <c r="I547" s="18" t="s">
        <v>48</v>
      </c>
    </row>
    <row r="548" spans="1:9" ht="15.75" customHeight="1" x14ac:dyDescent="0.2">
      <c r="A548" s="18" t="s">
        <v>44</v>
      </c>
      <c r="B548" s="19" t="s">
        <v>564</v>
      </c>
      <c r="C548" s="20" t="s">
        <v>625</v>
      </c>
      <c r="D548" s="21" t="s">
        <v>77</v>
      </c>
      <c r="E548" s="104"/>
      <c r="F548" s="18">
        <v>350608</v>
      </c>
      <c r="G548" s="19" t="s">
        <v>646</v>
      </c>
      <c r="H548" s="18">
        <v>1</v>
      </c>
      <c r="I548" s="18" t="s">
        <v>146</v>
      </c>
    </row>
    <row r="549" spans="1:9" ht="15.75" customHeight="1" x14ac:dyDescent="0.2">
      <c r="A549" s="18" t="s">
        <v>44</v>
      </c>
      <c r="B549" s="19" t="s">
        <v>564</v>
      </c>
      <c r="C549" s="20" t="s">
        <v>625</v>
      </c>
      <c r="D549" s="21" t="s">
        <v>77</v>
      </c>
      <c r="E549" s="104"/>
      <c r="F549" s="18">
        <v>350609</v>
      </c>
      <c r="G549" s="19" t="s">
        <v>647</v>
      </c>
      <c r="H549" s="18">
        <v>1</v>
      </c>
      <c r="I549" s="18" t="s">
        <v>146</v>
      </c>
    </row>
    <row r="550" spans="1:9" ht="15.75" customHeight="1" x14ac:dyDescent="0.2">
      <c r="A550" s="18" t="s">
        <v>44</v>
      </c>
      <c r="B550" s="19" t="s">
        <v>564</v>
      </c>
      <c r="C550" s="20" t="s">
        <v>625</v>
      </c>
      <c r="D550" s="21" t="s">
        <v>77</v>
      </c>
      <c r="E550" s="104"/>
      <c r="F550" s="18">
        <v>350610</v>
      </c>
      <c r="G550" s="19" t="s">
        <v>648</v>
      </c>
      <c r="H550" s="18">
        <v>1</v>
      </c>
      <c r="I550" s="18" t="s">
        <v>146</v>
      </c>
    </row>
    <row r="551" spans="1:9" ht="15.75" customHeight="1" x14ac:dyDescent="0.2">
      <c r="A551" s="18" t="s">
        <v>44</v>
      </c>
      <c r="B551" s="19" t="s">
        <v>564</v>
      </c>
      <c r="C551" s="20" t="s">
        <v>625</v>
      </c>
      <c r="D551" s="21" t="s">
        <v>77</v>
      </c>
      <c r="E551" s="104"/>
      <c r="F551" s="18">
        <v>350611</v>
      </c>
      <c r="G551" s="19" t="s">
        <v>649</v>
      </c>
      <c r="H551" s="18">
        <v>1</v>
      </c>
      <c r="I551" s="18" t="s">
        <v>146</v>
      </c>
    </row>
    <row r="552" spans="1:9" ht="15.75" customHeight="1" x14ac:dyDescent="0.2">
      <c r="A552" s="18" t="s">
        <v>44</v>
      </c>
      <c r="B552" s="19" t="s">
        <v>564</v>
      </c>
      <c r="C552" s="20" t="s">
        <v>625</v>
      </c>
      <c r="D552" s="21" t="s">
        <v>77</v>
      </c>
      <c r="E552" s="105"/>
      <c r="F552" s="18">
        <v>350612</v>
      </c>
      <c r="G552" s="19" t="s">
        <v>650</v>
      </c>
      <c r="H552" s="18">
        <v>1</v>
      </c>
      <c r="I552" s="18" t="s">
        <v>146</v>
      </c>
    </row>
    <row r="553" spans="1:9" ht="15.75" customHeight="1" x14ac:dyDescent="0.2">
      <c r="A553" s="18" t="s">
        <v>44</v>
      </c>
      <c r="B553" s="19" t="s">
        <v>564</v>
      </c>
      <c r="C553" s="20" t="s">
        <v>625</v>
      </c>
      <c r="D553" s="21" t="s">
        <v>77</v>
      </c>
      <c r="E553" s="103" t="e" vm="99">
        <v>#VALUE!</v>
      </c>
      <c r="F553" s="18">
        <v>350502</v>
      </c>
      <c r="G553" s="19" t="s">
        <v>651</v>
      </c>
      <c r="H553" s="18">
        <v>40</v>
      </c>
      <c r="I553" s="18" t="s">
        <v>48</v>
      </c>
    </row>
    <row r="554" spans="1:9" ht="15.75" customHeight="1" x14ac:dyDescent="0.2">
      <c r="A554" s="18" t="s">
        <v>44</v>
      </c>
      <c r="B554" s="19" t="s">
        <v>564</v>
      </c>
      <c r="C554" s="20" t="s">
        <v>625</v>
      </c>
      <c r="D554" s="21" t="s">
        <v>77</v>
      </c>
      <c r="E554" s="104"/>
      <c r="F554" s="18">
        <v>350503</v>
      </c>
      <c r="G554" s="19" t="s">
        <v>652</v>
      </c>
      <c r="H554" s="18">
        <v>30</v>
      </c>
      <c r="I554" s="18" t="s">
        <v>48</v>
      </c>
    </row>
    <row r="555" spans="1:9" ht="15.75" customHeight="1" x14ac:dyDescent="0.2">
      <c r="A555" s="18" t="s">
        <v>44</v>
      </c>
      <c r="B555" s="19" t="s">
        <v>564</v>
      </c>
      <c r="C555" s="20" t="s">
        <v>625</v>
      </c>
      <c r="D555" s="21" t="s">
        <v>77</v>
      </c>
      <c r="E555" s="104"/>
      <c r="F555" s="18">
        <v>350504</v>
      </c>
      <c r="G555" s="19" t="s">
        <v>653</v>
      </c>
      <c r="H555" s="18">
        <v>30</v>
      </c>
      <c r="I555" s="18" t="s">
        <v>48</v>
      </c>
    </row>
    <row r="556" spans="1:9" ht="15.75" customHeight="1" x14ac:dyDescent="0.2">
      <c r="A556" s="18" t="s">
        <v>44</v>
      </c>
      <c r="B556" s="19" t="s">
        <v>564</v>
      </c>
      <c r="C556" s="20" t="s">
        <v>625</v>
      </c>
      <c r="D556" s="21" t="s">
        <v>77</v>
      </c>
      <c r="E556" s="104"/>
      <c r="F556" s="18">
        <v>350505</v>
      </c>
      <c r="G556" s="19" t="s">
        <v>654</v>
      </c>
      <c r="H556" s="18">
        <v>25</v>
      </c>
      <c r="I556" s="18" t="s">
        <v>48</v>
      </c>
    </row>
    <row r="557" spans="1:9" ht="15.75" customHeight="1" x14ac:dyDescent="0.2">
      <c r="A557" s="18" t="s">
        <v>44</v>
      </c>
      <c r="B557" s="19" t="s">
        <v>564</v>
      </c>
      <c r="C557" s="20" t="s">
        <v>625</v>
      </c>
      <c r="D557" s="21" t="s">
        <v>77</v>
      </c>
      <c r="E557" s="104"/>
      <c r="F557" s="18">
        <v>350506</v>
      </c>
      <c r="G557" s="19" t="s">
        <v>655</v>
      </c>
      <c r="H557" s="18">
        <v>10</v>
      </c>
      <c r="I557" s="18" t="s">
        <v>48</v>
      </c>
    </row>
    <row r="558" spans="1:9" ht="15.75" customHeight="1" x14ac:dyDescent="0.2">
      <c r="A558" s="18" t="s">
        <v>44</v>
      </c>
      <c r="B558" s="19" t="s">
        <v>564</v>
      </c>
      <c r="C558" s="20" t="s">
        <v>625</v>
      </c>
      <c r="D558" s="21" t="s">
        <v>77</v>
      </c>
      <c r="E558" s="104"/>
      <c r="F558" s="18">
        <v>350507</v>
      </c>
      <c r="G558" s="19" t="s">
        <v>656</v>
      </c>
      <c r="H558" s="18">
        <v>9</v>
      </c>
      <c r="I558" s="18" t="s">
        <v>48</v>
      </c>
    </row>
    <row r="559" spans="1:9" ht="15.75" customHeight="1" x14ac:dyDescent="0.2">
      <c r="A559" s="18" t="s">
        <v>44</v>
      </c>
      <c r="B559" s="19" t="s">
        <v>564</v>
      </c>
      <c r="C559" s="20" t="s">
        <v>625</v>
      </c>
      <c r="D559" s="21" t="s">
        <v>77</v>
      </c>
      <c r="E559" s="104"/>
      <c r="F559" s="18">
        <v>350511</v>
      </c>
      <c r="G559" s="19" t="s">
        <v>657</v>
      </c>
      <c r="H559" s="18">
        <v>1</v>
      </c>
      <c r="I559" s="18" t="s">
        <v>146</v>
      </c>
    </row>
    <row r="560" spans="1:9" ht="15.75" customHeight="1" x14ac:dyDescent="0.2">
      <c r="A560" s="18" t="s">
        <v>44</v>
      </c>
      <c r="B560" s="19" t="s">
        <v>564</v>
      </c>
      <c r="C560" s="20" t="s">
        <v>625</v>
      </c>
      <c r="D560" s="21" t="s">
        <v>77</v>
      </c>
      <c r="E560" s="104"/>
      <c r="F560" s="18">
        <v>350512</v>
      </c>
      <c r="G560" s="19" t="s">
        <v>658</v>
      </c>
      <c r="H560" s="18">
        <v>1</v>
      </c>
      <c r="I560" s="18" t="s">
        <v>146</v>
      </c>
    </row>
    <row r="561" spans="1:9" ht="15.75" customHeight="1" x14ac:dyDescent="0.2">
      <c r="A561" s="18" t="s">
        <v>44</v>
      </c>
      <c r="B561" s="19" t="s">
        <v>564</v>
      </c>
      <c r="C561" s="20" t="s">
        <v>625</v>
      </c>
      <c r="D561" s="21" t="s">
        <v>77</v>
      </c>
      <c r="E561" s="104"/>
      <c r="F561" s="18">
        <v>350508</v>
      </c>
      <c r="G561" s="19" t="s">
        <v>659</v>
      </c>
      <c r="H561" s="18">
        <v>1</v>
      </c>
      <c r="I561" s="18" t="s">
        <v>146</v>
      </c>
    </row>
    <row r="562" spans="1:9" ht="15.75" customHeight="1" x14ac:dyDescent="0.2">
      <c r="A562" s="18" t="s">
        <v>44</v>
      </c>
      <c r="B562" s="19" t="s">
        <v>564</v>
      </c>
      <c r="C562" s="20" t="s">
        <v>625</v>
      </c>
      <c r="D562" s="21" t="s">
        <v>77</v>
      </c>
      <c r="E562" s="104"/>
      <c r="F562" s="18">
        <v>350509</v>
      </c>
      <c r="G562" s="19" t="s">
        <v>660</v>
      </c>
      <c r="H562" s="18">
        <v>1</v>
      </c>
      <c r="I562" s="18" t="s">
        <v>146</v>
      </c>
    </row>
    <row r="563" spans="1:9" ht="15.75" customHeight="1" x14ac:dyDescent="0.2">
      <c r="A563" s="18" t="s">
        <v>44</v>
      </c>
      <c r="B563" s="19" t="s">
        <v>564</v>
      </c>
      <c r="C563" s="20" t="s">
        <v>625</v>
      </c>
      <c r="D563" s="21" t="s">
        <v>77</v>
      </c>
      <c r="E563" s="105"/>
      <c r="F563" s="18">
        <v>350510</v>
      </c>
      <c r="G563" s="19" t="s">
        <v>661</v>
      </c>
      <c r="H563" s="18">
        <v>1</v>
      </c>
      <c r="I563" s="18" t="s">
        <v>146</v>
      </c>
    </row>
    <row r="564" spans="1:9" ht="20.25" customHeight="1" x14ac:dyDescent="0.2">
      <c r="A564" s="18" t="s">
        <v>44</v>
      </c>
      <c r="B564" s="19" t="s">
        <v>564</v>
      </c>
      <c r="C564" s="20" t="s">
        <v>625</v>
      </c>
      <c r="D564" s="21" t="s">
        <v>77</v>
      </c>
      <c r="E564" s="103" t="e" vm="100">
        <v>#VALUE!</v>
      </c>
      <c r="F564" s="18">
        <v>350702</v>
      </c>
      <c r="G564" s="19" t="s">
        <v>662</v>
      </c>
      <c r="H564" s="18">
        <v>50</v>
      </c>
      <c r="I564" s="18" t="s">
        <v>48</v>
      </c>
    </row>
    <row r="565" spans="1:9" ht="20.25" customHeight="1" x14ac:dyDescent="0.2">
      <c r="A565" s="18" t="s">
        <v>44</v>
      </c>
      <c r="B565" s="19" t="s">
        <v>564</v>
      </c>
      <c r="C565" s="20" t="s">
        <v>625</v>
      </c>
      <c r="D565" s="21" t="s">
        <v>77</v>
      </c>
      <c r="E565" s="104"/>
      <c r="F565" s="18">
        <v>350703</v>
      </c>
      <c r="G565" s="19" t="s">
        <v>663</v>
      </c>
      <c r="H565" s="18">
        <v>20</v>
      </c>
      <c r="I565" s="18" t="s">
        <v>48</v>
      </c>
    </row>
    <row r="566" spans="1:9" ht="20.25" customHeight="1" x14ac:dyDescent="0.2">
      <c r="A566" s="18" t="s">
        <v>44</v>
      </c>
      <c r="B566" s="19" t="s">
        <v>564</v>
      </c>
      <c r="C566" s="20" t="s">
        <v>625</v>
      </c>
      <c r="D566" s="21" t="s">
        <v>77</v>
      </c>
      <c r="E566" s="105"/>
      <c r="F566" s="18">
        <v>350704</v>
      </c>
      <c r="G566" s="19" t="s">
        <v>664</v>
      </c>
      <c r="H566" s="18">
        <v>10</v>
      </c>
      <c r="I566" s="18" t="s">
        <v>48</v>
      </c>
    </row>
    <row r="567" spans="1:9" ht="22.5" customHeight="1" x14ac:dyDescent="0.2">
      <c r="A567" s="18" t="s">
        <v>44</v>
      </c>
      <c r="B567" s="19" t="s">
        <v>564</v>
      </c>
      <c r="C567" s="20" t="s">
        <v>625</v>
      </c>
      <c r="D567" s="21" t="s">
        <v>77</v>
      </c>
      <c r="E567" s="103" t="e" vm="101">
        <v>#VALUE!</v>
      </c>
      <c r="F567" s="18">
        <v>351701</v>
      </c>
      <c r="G567" s="19" t="s">
        <v>665</v>
      </c>
      <c r="H567" s="18">
        <v>40</v>
      </c>
      <c r="I567" s="18" t="s">
        <v>48</v>
      </c>
    </row>
    <row r="568" spans="1:9" ht="22.5" customHeight="1" x14ac:dyDescent="0.2">
      <c r="A568" s="18" t="s">
        <v>44</v>
      </c>
      <c r="B568" s="19" t="s">
        <v>564</v>
      </c>
      <c r="C568" s="20" t="s">
        <v>625</v>
      </c>
      <c r="D568" s="21" t="s">
        <v>77</v>
      </c>
      <c r="E568" s="104"/>
      <c r="F568" s="18">
        <v>351702</v>
      </c>
      <c r="G568" s="19" t="s">
        <v>666</v>
      </c>
      <c r="H568" s="18">
        <v>20</v>
      </c>
      <c r="I568" s="18" t="s">
        <v>48</v>
      </c>
    </row>
    <row r="569" spans="1:9" ht="22.5" customHeight="1" x14ac:dyDescent="0.2">
      <c r="A569" s="18" t="s">
        <v>44</v>
      </c>
      <c r="B569" s="19" t="s">
        <v>564</v>
      </c>
      <c r="C569" s="20" t="s">
        <v>625</v>
      </c>
      <c r="D569" s="21" t="s">
        <v>77</v>
      </c>
      <c r="E569" s="105"/>
      <c r="F569" s="18">
        <v>351703</v>
      </c>
      <c r="G569" s="19" t="s">
        <v>667</v>
      </c>
      <c r="H569" s="18">
        <v>12</v>
      </c>
      <c r="I569" s="18" t="s">
        <v>48</v>
      </c>
    </row>
    <row r="570" spans="1:9" ht="15.75" customHeight="1" x14ac:dyDescent="0.2">
      <c r="A570" s="18" t="s">
        <v>44</v>
      </c>
      <c r="B570" s="19" t="s">
        <v>564</v>
      </c>
      <c r="C570" s="20" t="s">
        <v>625</v>
      </c>
      <c r="D570" s="21" t="s">
        <v>77</v>
      </c>
      <c r="E570" s="103" t="e" vm="102">
        <v>#VALUE!</v>
      </c>
      <c r="F570" s="18">
        <v>350302</v>
      </c>
      <c r="G570" s="19" t="s">
        <v>668</v>
      </c>
      <c r="H570" s="18">
        <v>50</v>
      </c>
      <c r="I570" s="18" t="s">
        <v>48</v>
      </c>
    </row>
    <row r="571" spans="1:9" ht="15.75" customHeight="1" x14ac:dyDescent="0.2">
      <c r="A571" s="18" t="s">
        <v>44</v>
      </c>
      <c r="B571" s="19" t="s">
        <v>564</v>
      </c>
      <c r="C571" s="20" t="s">
        <v>625</v>
      </c>
      <c r="D571" s="21" t="s">
        <v>77</v>
      </c>
      <c r="E571" s="104"/>
      <c r="F571" s="18">
        <v>350303</v>
      </c>
      <c r="G571" s="19" t="s">
        <v>669</v>
      </c>
      <c r="H571" s="18">
        <v>30</v>
      </c>
      <c r="I571" s="18" t="s">
        <v>48</v>
      </c>
    </row>
    <row r="572" spans="1:9" ht="15.75" customHeight="1" x14ac:dyDescent="0.2">
      <c r="A572" s="18" t="s">
        <v>44</v>
      </c>
      <c r="B572" s="19" t="s">
        <v>564</v>
      </c>
      <c r="C572" s="20" t="s">
        <v>625</v>
      </c>
      <c r="D572" s="21" t="s">
        <v>77</v>
      </c>
      <c r="E572" s="104"/>
      <c r="F572" s="18">
        <v>350304</v>
      </c>
      <c r="G572" s="19" t="s">
        <v>670</v>
      </c>
      <c r="H572" s="18">
        <v>15</v>
      </c>
      <c r="I572" s="18" t="s">
        <v>48</v>
      </c>
    </row>
    <row r="573" spans="1:9" ht="15.75" customHeight="1" x14ac:dyDescent="0.2">
      <c r="A573" s="18" t="s">
        <v>44</v>
      </c>
      <c r="B573" s="19" t="s">
        <v>564</v>
      </c>
      <c r="C573" s="20" t="s">
        <v>625</v>
      </c>
      <c r="D573" s="21" t="s">
        <v>77</v>
      </c>
      <c r="E573" s="104"/>
      <c r="F573" s="18">
        <v>350305</v>
      </c>
      <c r="G573" s="19" t="s">
        <v>671</v>
      </c>
      <c r="H573" s="18">
        <v>12</v>
      </c>
      <c r="I573" s="18" t="s">
        <v>48</v>
      </c>
    </row>
    <row r="574" spans="1:9" ht="15.75" customHeight="1" x14ac:dyDescent="0.2">
      <c r="A574" s="18" t="s">
        <v>44</v>
      </c>
      <c r="B574" s="19" t="s">
        <v>564</v>
      </c>
      <c r="C574" s="20" t="s">
        <v>625</v>
      </c>
      <c r="D574" s="21" t="s">
        <v>77</v>
      </c>
      <c r="E574" s="104"/>
      <c r="F574" s="18">
        <v>350306</v>
      </c>
      <c r="G574" s="19" t="s">
        <v>672</v>
      </c>
      <c r="H574" s="18">
        <v>5</v>
      </c>
      <c r="I574" s="18" t="s">
        <v>48</v>
      </c>
    </row>
    <row r="575" spans="1:9" ht="15.75" customHeight="1" x14ac:dyDescent="0.2">
      <c r="A575" s="18" t="s">
        <v>44</v>
      </c>
      <c r="B575" s="19" t="s">
        <v>564</v>
      </c>
      <c r="C575" s="20" t="s">
        <v>625</v>
      </c>
      <c r="D575" s="21" t="s">
        <v>77</v>
      </c>
      <c r="E575" s="104"/>
      <c r="F575" s="18">
        <v>350307</v>
      </c>
      <c r="G575" s="19" t="s">
        <v>673</v>
      </c>
      <c r="H575" s="18">
        <v>1</v>
      </c>
      <c r="I575" s="18" t="s">
        <v>48</v>
      </c>
    </row>
    <row r="576" spans="1:9" ht="15.75" customHeight="1" x14ac:dyDescent="0.2">
      <c r="A576" s="18" t="s">
        <v>44</v>
      </c>
      <c r="B576" s="19" t="s">
        <v>564</v>
      </c>
      <c r="C576" s="20" t="s">
        <v>625</v>
      </c>
      <c r="D576" s="21" t="s">
        <v>77</v>
      </c>
      <c r="E576" s="104"/>
      <c r="F576" s="18">
        <v>350308</v>
      </c>
      <c r="G576" s="19" t="s">
        <v>674</v>
      </c>
      <c r="H576" s="18">
        <v>1</v>
      </c>
      <c r="I576" s="18" t="s">
        <v>146</v>
      </c>
    </row>
    <row r="577" spans="1:9" ht="15.75" customHeight="1" x14ac:dyDescent="0.2">
      <c r="A577" s="18" t="s">
        <v>44</v>
      </c>
      <c r="B577" s="19" t="s">
        <v>564</v>
      </c>
      <c r="C577" s="20" t="s">
        <v>625</v>
      </c>
      <c r="D577" s="21" t="s">
        <v>77</v>
      </c>
      <c r="E577" s="104"/>
      <c r="F577" s="18">
        <v>350309</v>
      </c>
      <c r="G577" s="19" t="s">
        <v>675</v>
      </c>
      <c r="H577" s="18">
        <v>1</v>
      </c>
      <c r="I577" s="18" t="s">
        <v>146</v>
      </c>
    </row>
    <row r="578" spans="1:9" ht="15.75" customHeight="1" x14ac:dyDescent="0.2">
      <c r="A578" s="18" t="s">
        <v>44</v>
      </c>
      <c r="B578" s="19" t="s">
        <v>564</v>
      </c>
      <c r="C578" s="20" t="s">
        <v>625</v>
      </c>
      <c r="D578" s="21" t="s">
        <v>77</v>
      </c>
      <c r="E578" s="105"/>
      <c r="F578" s="18">
        <v>350310</v>
      </c>
      <c r="G578" s="19" t="s">
        <v>676</v>
      </c>
      <c r="H578" s="18">
        <v>1</v>
      </c>
      <c r="I578" s="18" t="s">
        <v>146</v>
      </c>
    </row>
    <row r="579" spans="1:9" ht="15.75" customHeight="1" x14ac:dyDescent="0.2">
      <c r="A579" s="18" t="s">
        <v>44</v>
      </c>
      <c r="B579" s="19" t="s">
        <v>564</v>
      </c>
      <c r="C579" s="20" t="s">
        <v>625</v>
      </c>
      <c r="D579" s="21" t="s">
        <v>77</v>
      </c>
      <c r="E579" s="103" t="e" vm="103">
        <v>#VALUE!</v>
      </c>
      <c r="F579" s="18">
        <v>350202</v>
      </c>
      <c r="G579" s="19" t="s">
        <v>677</v>
      </c>
      <c r="H579" s="18">
        <v>30</v>
      </c>
      <c r="I579" s="18" t="s">
        <v>48</v>
      </c>
    </row>
    <row r="580" spans="1:9" ht="15.75" customHeight="1" x14ac:dyDescent="0.2">
      <c r="A580" s="18" t="s">
        <v>44</v>
      </c>
      <c r="B580" s="19" t="s">
        <v>564</v>
      </c>
      <c r="C580" s="20" t="s">
        <v>625</v>
      </c>
      <c r="D580" s="21" t="s">
        <v>77</v>
      </c>
      <c r="E580" s="104"/>
      <c r="F580" s="18">
        <v>350203</v>
      </c>
      <c r="G580" s="19" t="s">
        <v>678</v>
      </c>
      <c r="H580" s="18">
        <v>20</v>
      </c>
      <c r="I580" s="18" t="s">
        <v>48</v>
      </c>
    </row>
    <row r="581" spans="1:9" ht="15.75" customHeight="1" x14ac:dyDescent="0.2">
      <c r="A581" s="18" t="s">
        <v>44</v>
      </c>
      <c r="B581" s="19" t="s">
        <v>564</v>
      </c>
      <c r="C581" s="20" t="s">
        <v>625</v>
      </c>
      <c r="D581" s="21" t="s">
        <v>77</v>
      </c>
      <c r="E581" s="104"/>
      <c r="F581" s="18">
        <v>350204</v>
      </c>
      <c r="G581" s="19" t="s">
        <v>679</v>
      </c>
      <c r="H581" s="18">
        <v>20</v>
      </c>
      <c r="I581" s="18" t="s">
        <v>48</v>
      </c>
    </row>
    <row r="582" spans="1:9" ht="15.75" customHeight="1" x14ac:dyDescent="0.2">
      <c r="A582" s="18" t="s">
        <v>44</v>
      </c>
      <c r="B582" s="19" t="s">
        <v>564</v>
      </c>
      <c r="C582" s="20" t="s">
        <v>625</v>
      </c>
      <c r="D582" s="21" t="s">
        <v>77</v>
      </c>
      <c r="E582" s="104"/>
      <c r="F582" s="18">
        <v>350205</v>
      </c>
      <c r="G582" s="19" t="s">
        <v>680</v>
      </c>
      <c r="H582" s="18">
        <v>15</v>
      </c>
      <c r="I582" s="18" t="s">
        <v>48</v>
      </c>
    </row>
    <row r="583" spans="1:9" ht="15.75" customHeight="1" x14ac:dyDescent="0.2">
      <c r="A583" s="18" t="s">
        <v>44</v>
      </c>
      <c r="B583" s="19" t="s">
        <v>564</v>
      </c>
      <c r="C583" s="20" t="s">
        <v>625</v>
      </c>
      <c r="D583" s="21" t="s">
        <v>77</v>
      </c>
      <c r="E583" s="104"/>
      <c r="F583" s="18">
        <v>350206</v>
      </c>
      <c r="G583" s="19" t="s">
        <v>681</v>
      </c>
      <c r="H583" s="18">
        <v>10</v>
      </c>
      <c r="I583" s="18" t="s">
        <v>48</v>
      </c>
    </row>
    <row r="584" spans="1:9" ht="15.75" customHeight="1" x14ac:dyDescent="0.2">
      <c r="A584" s="18" t="s">
        <v>44</v>
      </c>
      <c r="B584" s="19" t="s">
        <v>564</v>
      </c>
      <c r="C584" s="20" t="s">
        <v>625</v>
      </c>
      <c r="D584" s="21" t="s">
        <v>77</v>
      </c>
      <c r="E584" s="104"/>
      <c r="F584" s="18">
        <v>350207</v>
      </c>
      <c r="G584" s="19" t="s">
        <v>682</v>
      </c>
      <c r="H584" s="18">
        <v>10</v>
      </c>
      <c r="I584" s="18" t="s">
        <v>48</v>
      </c>
    </row>
    <row r="585" spans="1:9" ht="15.75" customHeight="1" x14ac:dyDescent="0.2">
      <c r="A585" s="18" t="s">
        <v>44</v>
      </c>
      <c r="B585" s="19" t="s">
        <v>564</v>
      </c>
      <c r="C585" s="20" t="s">
        <v>625</v>
      </c>
      <c r="D585" s="21" t="s">
        <v>77</v>
      </c>
      <c r="E585" s="104"/>
      <c r="F585" s="18">
        <v>350208</v>
      </c>
      <c r="G585" s="19" t="s">
        <v>683</v>
      </c>
      <c r="H585" s="18">
        <v>1</v>
      </c>
      <c r="I585" s="18" t="s">
        <v>146</v>
      </c>
    </row>
    <row r="586" spans="1:9" ht="15.75" customHeight="1" x14ac:dyDescent="0.2">
      <c r="A586" s="18" t="s">
        <v>44</v>
      </c>
      <c r="B586" s="19" t="s">
        <v>564</v>
      </c>
      <c r="C586" s="20" t="s">
        <v>625</v>
      </c>
      <c r="D586" s="21" t="s">
        <v>77</v>
      </c>
      <c r="E586" s="104"/>
      <c r="F586" s="18">
        <v>350209</v>
      </c>
      <c r="G586" s="19" t="s">
        <v>684</v>
      </c>
      <c r="H586" s="18">
        <v>1</v>
      </c>
      <c r="I586" s="18" t="s">
        <v>146</v>
      </c>
    </row>
    <row r="587" spans="1:9" ht="15.75" customHeight="1" x14ac:dyDescent="0.2">
      <c r="A587" s="18" t="s">
        <v>44</v>
      </c>
      <c r="B587" s="19" t="s">
        <v>564</v>
      </c>
      <c r="C587" s="20" t="s">
        <v>625</v>
      </c>
      <c r="D587" s="21" t="s">
        <v>77</v>
      </c>
      <c r="E587" s="105"/>
      <c r="F587" s="18">
        <v>350210</v>
      </c>
      <c r="G587" s="19" t="s">
        <v>685</v>
      </c>
      <c r="H587" s="18">
        <v>1</v>
      </c>
      <c r="I587" s="18" t="s">
        <v>146</v>
      </c>
    </row>
    <row r="588" spans="1:9" ht="15.75" customHeight="1" x14ac:dyDescent="0.2">
      <c r="A588" s="18" t="s">
        <v>44</v>
      </c>
      <c r="B588" s="19" t="s">
        <v>564</v>
      </c>
      <c r="C588" s="20" t="s">
        <v>625</v>
      </c>
      <c r="D588" s="21" t="s">
        <v>77</v>
      </c>
      <c r="E588" s="103" t="e" vm="104">
        <v>#VALUE!</v>
      </c>
      <c r="F588" s="18">
        <v>350102</v>
      </c>
      <c r="G588" s="19" t="s">
        <v>686</v>
      </c>
      <c r="H588" s="18">
        <v>60</v>
      </c>
      <c r="I588" s="18" t="s">
        <v>48</v>
      </c>
    </row>
    <row r="589" spans="1:9" ht="15.75" customHeight="1" x14ac:dyDescent="0.2">
      <c r="A589" s="18" t="s">
        <v>44</v>
      </c>
      <c r="B589" s="19" t="s">
        <v>564</v>
      </c>
      <c r="C589" s="20" t="s">
        <v>625</v>
      </c>
      <c r="D589" s="21" t="s">
        <v>77</v>
      </c>
      <c r="E589" s="104"/>
      <c r="F589" s="18">
        <v>350103</v>
      </c>
      <c r="G589" s="19" t="s">
        <v>687</v>
      </c>
      <c r="H589" s="18">
        <v>34</v>
      </c>
      <c r="I589" s="18" t="s">
        <v>48</v>
      </c>
    </row>
    <row r="590" spans="1:9" ht="15.75" customHeight="1" x14ac:dyDescent="0.2">
      <c r="A590" s="18" t="s">
        <v>44</v>
      </c>
      <c r="B590" s="19" t="s">
        <v>564</v>
      </c>
      <c r="C590" s="20" t="s">
        <v>625</v>
      </c>
      <c r="D590" s="21" t="s">
        <v>77</v>
      </c>
      <c r="E590" s="104"/>
      <c r="F590" s="18">
        <v>350104</v>
      </c>
      <c r="G590" s="19" t="s">
        <v>688</v>
      </c>
      <c r="H590" s="18">
        <v>40</v>
      </c>
      <c r="I590" s="18" t="s">
        <v>48</v>
      </c>
    </row>
    <row r="591" spans="1:9" ht="15.75" customHeight="1" x14ac:dyDescent="0.2">
      <c r="A591" s="18" t="s">
        <v>44</v>
      </c>
      <c r="B591" s="19" t="s">
        <v>564</v>
      </c>
      <c r="C591" s="20" t="s">
        <v>625</v>
      </c>
      <c r="D591" s="21" t="s">
        <v>77</v>
      </c>
      <c r="E591" s="104"/>
      <c r="F591" s="18">
        <v>350105</v>
      </c>
      <c r="G591" s="19" t="s">
        <v>689</v>
      </c>
      <c r="H591" s="18">
        <v>20</v>
      </c>
      <c r="I591" s="18" t="s">
        <v>48</v>
      </c>
    </row>
    <row r="592" spans="1:9" ht="15.75" customHeight="1" x14ac:dyDescent="0.2">
      <c r="A592" s="18" t="s">
        <v>44</v>
      </c>
      <c r="B592" s="19" t="s">
        <v>564</v>
      </c>
      <c r="C592" s="20" t="s">
        <v>625</v>
      </c>
      <c r="D592" s="21" t="s">
        <v>77</v>
      </c>
      <c r="E592" s="104"/>
      <c r="F592" s="18">
        <v>350106</v>
      </c>
      <c r="G592" s="19" t="s">
        <v>690</v>
      </c>
      <c r="H592" s="18">
        <v>10</v>
      </c>
      <c r="I592" s="18" t="s">
        <v>48</v>
      </c>
    </row>
    <row r="593" spans="1:9" ht="15.75" customHeight="1" x14ac:dyDescent="0.2">
      <c r="A593" s="18" t="s">
        <v>44</v>
      </c>
      <c r="B593" s="19" t="s">
        <v>564</v>
      </c>
      <c r="C593" s="20" t="s">
        <v>625</v>
      </c>
      <c r="D593" s="21" t="s">
        <v>77</v>
      </c>
      <c r="E593" s="104"/>
      <c r="F593" s="18">
        <v>350107</v>
      </c>
      <c r="G593" s="19" t="s">
        <v>691</v>
      </c>
      <c r="H593" s="18">
        <v>10</v>
      </c>
      <c r="I593" s="18" t="s">
        <v>48</v>
      </c>
    </row>
    <row r="594" spans="1:9" ht="15.75" customHeight="1" x14ac:dyDescent="0.2">
      <c r="A594" s="18" t="s">
        <v>44</v>
      </c>
      <c r="B594" s="19" t="s">
        <v>564</v>
      </c>
      <c r="C594" s="20" t="s">
        <v>625</v>
      </c>
      <c r="D594" s="21" t="s">
        <v>77</v>
      </c>
      <c r="E594" s="104"/>
      <c r="F594" s="18">
        <v>350108</v>
      </c>
      <c r="G594" s="19" t="s">
        <v>692</v>
      </c>
      <c r="H594" s="18">
        <v>1</v>
      </c>
      <c r="I594" s="18" t="s">
        <v>146</v>
      </c>
    </row>
    <row r="595" spans="1:9" ht="15.75" customHeight="1" x14ac:dyDescent="0.2">
      <c r="A595" s="18" t="s">
        <v>44</v>
      </c>
      <c r="B595" s="19" t="s">
        <v>564</v>
      </c>
      <c r="C595" s="20" t="s">
        <v>625</v>
      </c>
      <c r="D595" s="21" t="s">
        <v>77</v>
      </c>
      <c r="E595" s="104"/>
      <c r="F595" s="18">
        <v>350109</v>
      </c>
      <c r="G595" s="19" t="s">
        <v>693</v>
      </c>
      <c r="H595" s="18">
        <v>1</v>
      </c>
      <c r="I595" s="18" t="s">
        <v>146</v>
      </c>
    </row>
    <row r="596" spans="1:9" ht="15.75" customHeight="1" x14ac:dyDescent="0.2">
      <c r="A596" s="18" t="s">
        <v>44</v>
      </c>
      <c r="B596" s="19" t="s">
        <v>564</v>
      </c>
      <c r="C596" s="20" t="s">
        <v>625</v>
      </c>
      <c r="D596" s="21" t="s">
        <v>77</v>
      </c>
      <c r="E596" s="104"/>
      <c r="F596" s="18">
        <v>350110</v>
      </c>
      <c r="G596" s="19" t="s">
        <v>694</v>
      </c>
      <c r="H596" s="18">
        <v>1</v>
      </c>
      <c r="I596" s="18" t="s">
        <v>146</v>
      </c>
    </row>
    <row r="597" spans="1:9" ht="15.75" customHeight="1" x14ac:dyDescent="0.2">
      <c r="A597" s="18" t="s">
        <v>44</v>
      </c>
      <c r="B597" s="19" t="s">
        <v>564</v>
      </c>
      <c r="C597" s="20" t="s">
        <v>625</v>
      </c>
      <c r="D597" s="21" t="s">
        <v>77</v>
      </c>
      <c r="E597" s="104"/>
      <c r="F597" s="18">
        <v>350111</v>
      </c>
      <c r="G597" s="19" t="s">
        <v>695</v>
      </c>
      <c r="H597" s="18">
        <v>1</v>
      </c>
      <c r="I597" s="18" t="s">
        <v>146</v>
      </c>
    </row>
    <row r="598" spans="1:9" ht="15.75" customHeight="1" x14ac:dyDescent="0.2">
      <c r="A598" s="18" t="s">
        <v>44</v>
      </c>
      <c r="B598" s="19" t="s">
        <v>564</v>
      </c>
      <c r="C598" s="20" t="s">
        <v>625</v>
      </c>
      <c r="D598" s="21" t="s">
        <v>77</v>
      </c>
      <c r="E598" s="104"/>
      <c r="F598" s="18">
        <v>350112</v>
      </c>
      <c r="G598" s="19" t="s">
        <v>696</v>
      </c>
      <c r="H598" s="18">
        <v>1</v>
      </c>
      <c r="I598" s="18" t="s">
        <v>146</v>
      </c>
    </row>
    <row r="599" spans="1:9" ht="16.5" customHeight="1" x14ac:dyDescent="0.2">
      <c r="A599" s="18" t="s">
        <v>44</v>
      </c>
      <c r="B599" s="19" t="s">
        <v>564</v>
      </c>
      <c r="C599" s="20" t="s">
        <v>625</v>
      </c>
      <c r="D599" s="21" t="s">
        <v>77</v>
      </c>
      <c r="E599" s="105"/>
      <c r="F599" s="18">
        <v>350113</v>
      </c>
      <c r="G599" s="19" t="s">
        <v>697</v>
      </c>
      <c r="H599" s="18">
        <v>1</v>
      </c>
      <c r="I599" s="18" t="s">
        <v>146</v>
      </c>
    </row>
    <row r="600" spans="1:9" ht="18" customHeight="1" x14ac:dyDescent="0.2">
      <c r="A600" s="18" t="s">
        <v>44</v>
      </c>
      <c r="B600" s="19" t="s">
        <v>564</v>
      </c>
      <c r="C600" s="20" t="s">
        <v>625</v>
      </c>
      <c r="D600" s="21" t="s">
        <v>77</v>
      </c>
      <c r="E600" s="103" t="e" vm="105">
        <v>#VALUE!</v>
      </c>
      <c r="F600" s="18">
        <v>350121</v>
      </c>
      <c r="G600" s="19" t="s">
        <v>698</v>
      </c>
      <c r="H600" s="18">
        <v>36</v>
      </c>
      <c r="I600" s="18" t="s">
        <v>48</v>
      </c>
    </row>
    <row r="601" spans="1:9" ht="18" customHeight="1" x14ac:dyDescent="0.2">
      <c r="A601" s="18" t="s">
        <v>44</v>
      </c>
      <c r="B601" s="19" t="s">
        <v>564</v>
      </c>
      <c r="C601" s="20" t="s">
        <v>625</v>
      </c>
      <c r="D601" s="21" t="s">
        <v>77</v>
      </c>
      <c r="E601" s="121"/>
      <c r="F601" s="18">
        <v>350122</v>
      </c>
      <c r="G601" s="19" t="s">
        <v>699</v>
      </c>
      <c r="H601" s="18">
        <v>25</v>
      </c>
      <c r="I601" s="18" t="s">
        <v>48</v>
      </c>
    </row>
    <row r="602" spans="1:9" ht="18" customHeight="1" x14ac:dyDescent="0.2">
      <c r="A602" s="18" t="s">
        <v>44</v>
      </c>
      <c r="B602" s="19" t="s">
        <v>564</v>
      </c>
      <c r="C602" s="20" t="s">
        <v>625</v>
      </c>
      <c r="D602" s="21" t="s">
        <v>77</v>
      </c>
      <c r="E602" s="122"/>
      <c r="F602" s="18">
        <v>350123</v>
      </c>
      <c r="G602" s="19" t="s">
        <v>700</v>
      </c>
      <c r="H602" s="18">
        <v>10</v>
      </c>
      <c r="I602" s="18" t="s">
        <v>48</v>
      </c>
    </row>
    <row r="603" spans="1:9" ht="15.75" customHeight="1" x14ac:dyDescent="0.2">
      <c r="A603" s="18" t="s">
        <v>44</v>
      </c>
      <c r="B603" s="19" t="s">
        <v>564</v>
      </c>
      <c r="C603" s="20" t="s">
        <v>625</v>
      </c>
      <c r="D603" s="21" t="s">
        <v>77</v>
      </c>
      <c r="E603" s="103" t="e" vm="106">
        <v>#VALUE!</v>
      </c>
      <c r="F603" s="18">
        <v>350402</v>
      </c>
      <c r="G603" s="19" t="s">
        <v>701</v>
      </c>
      <c r="H603" s="18">
        <v>65</v>
      </c>
      <c r="I603" s="18" t="s">
        <v>48</v>
      </c>
    </row>
    <row r="604" spans="1:9" ht="15.75" customHeight="1" x14ac:dyDescent="0.2">
      <c r="A604" s="18" t="s">
        <v>44</v>
      </c>
      <c r="B604" s="19" t="s">
        <v>564</v>
      </c>
      <c r="C604" s="20" t="s">
        <v>625</v>
      </c>
      <c r="D604" s="21" t="s">
        <v>77</v>
      </c>
      <c r="E604" s="104"/>
      <c r="F604" s="18">
        <v>350403</v>
      </c>
      <c r="G604" s="19" t="s">
        <v>702</v>
      </c>
      <c r="H604" s="18">
        <v>40</v>
      </c>
      <c r="I604" s="18" t="s">
        <v>48</v>
      </c>
    </row>
    <row r="605" spans="1:9" ht="15.75" customHeight="1" x14ac:dyDescent="0.2">
      <c r="A605" s="18" t="s">
        <v>44</v>
      </c>
      <c r="B605" s="19" t="s">
        <v>564</v>
      </c>
      <c r="C605" s="20" t="s">
        <v>625</v>
      </c>
      <c r="D605" s="21" t="s">
        <v>77</v>
      </c>
      <c r="E605" s="104"/>
      <c r="F605" s="18">
        <v>350404</v>
      </c>
      <c r="G605" s="19" t="s">
        <v>703</v>
      </c>
      <c r="H605" s="18">
        <v>20</v>
      </c>
      <c r="I605" s="18" t="s">
        <v>48</v>
      </c>
    </row>
    <row r="606" spans="1:9" ht="15.75" customHeight="1" x14ac:dyDescent="0.2">
      <c r="A606" s="18" t="s">
        <v>44</v>
      </c>
      <c r="B606" s="19" t="s">
        <v>564</v>
      </c>
      <c r="C606" s="20" t="s">
        <v>625</v>
      </c>
      <c r="D606" s="21" t="s">
        <v>77</v>
      </c>
      <c r="E606" s="104"/>
      <c r="F606" s="18">
        <v>350405</v>
      </c>
      <c r="G606" s="19" t="s">
        <v>704</v>
      </c>
      <c r="H606" s="18">
        <v>18</v>
      </c>
      <c r="I606" s="18" t="s">
        <v>48</v>
      </c>
    </row>
    <row r="607" spans="1:9" ht="15.75" customHeight="1" x14ac:dyDescent="0.2">
      <c r="A607" s="18" t="s">
        <v>44</v>
      </c>
      <c r="B607" s="19" t="s">
        <v>564</v>
      </c>
      <c r="C607" s="20" t="s">
        <v>625</v>
      </c>
      <c r="D607" s="21" t="s">
        <v>77</v>
      </c>
      <c r="E607" s="104"/>
      <c r="F607" s="18">
        <v>350406</v>
      </c>
      <c r="G607" s="19" t="s">
        <v>705</v>
      </c>
      <c r="H607" s="18">
        <v>10</v>
      </c>
      <c r="I607" s="18" t="s">
        <v>48</v>
      </c>
    </row>
    <row r="608" spans="1:9" ht="15.75" customHeight="1" x14ac:dyDescent="0.2">
      <c r="A608" s="18" t="s">
        <v>44</v>
      </c>
      <c r="B608" s="19" t="s">
        <v>564</v>
      </c>
      <c r="C608" s="20" t="s">
        <v>625</v>
      </c>
      <c r="D608" s="21" t="s">
        <v>77</v>
      </c>
      <c r="E608" s="104"/>
      <c r="F608" s="18">
        <v>350407</v>
      </c>
      <c r="G608" s="19" t="s">
        <v>706</v>
      </c>
      <c r="H608" s="18">
        <v>8</v>
      </c>
      <c r="I608" s="18" t="s">
        <v>48</v>
      </c>
    </row>
    <row r="609" spans="1:9" ht="15.75" customHeight="1" x14ac:dyDescent="0.2">
      <c r="A609" s="18" t="s">
        <v>44</v>
      </c>
      <c r="B609" s="19" t="s">
        <v>564</v>
      </c>
      <c r="C609" s="20" t="s">
        <v>625</v>
      </c>
      <c r="D609" s="21" t="s">
        <v>77</v>
      </c>
      <c r="E609" s="104"/>
      <c r="F609" s="18">
        <v>350408</v>
      </c>
      <c r="G609" s="19" t="s">
        <v>707</v>
      </c>
      <c r="H609" s="18">
        <v>1</v>
      </c>
      <c r="I609" s="18" t="s">
        <v>146</v>
      </c>
    </row>
    <row r="610" spans="1:9" ht="15.75" customHeight="1" x14ac:dyDescent="0.2">
      <c r="A610" s="18" t="s">
        <v>44</v>
      </c>
      <c r="B610" s="19" t="s">
        <v>564</v>
      </c>
      <c r="C610" s="20" t="s">
        <v>625</v>
      </c>
      <c r="D610" s="21" t="s">
        <v>77</v>
      </c>
      <c r="E610" s="104"/>
      <c r="F610" s="18">
        <v>350409</v>
      </c>
      <c r="G610" s="19" t="s">
        <v>708</v>
      </c>
      <c r="H610" s="18">
        <v>1</v>
      </c>
      <c r="I610" s="18" t="s">
        <v>146</v>
      </c>
    </row>
    <row r="611" spans="1:9" ht="15.75" customHeight="1" x14ac:dyDescent="0.2">
      <c r="A611" s="18" t="s">
        <v>44</v>
      </c>
      <c r="B611" s="19" t="s">
        <v>564</v>
      </c>
      <c r="C611" s="20" t="s">
        <v>625</v>
      </c>
      <c r="D611" s="21" t="s">
        <v>77</v>
      </c>
      <c r="E611" s="104"/>
      <c r="F611" s="18">
        <v>350410</v>
      </c>
      <c r="G611" s="19" t="s">
        <v>709</v>
      </c>
      <c r="H611" s="18">
        <v>1</v>
      </c>
      <c r="I611" s="18" t="s">
        <v>146</v>
      </c>
    </row>
    <row r="612" spans="1:9" ht="15.75" customHeight="1" x14ac:dyDescent="0.2">
      <c r="A612" s="18" t="s">
        <v>44</v>
      </c>
      <c r="B612" s="19" t="s">
        <v>564</v>
      </c>
      <c r="C612" s="20" t="s">
        <v>625</v>
      </c>
      <c r="D612" s="21" t="s">
        <v>77</v>
      </c>
      <c r="E612" s="104"/>
      <c r="F612" s="18">
        <v>350411</v>
      </c>
      <c r="G612" s="19" t="s">
        <v>710</v>
      </c>
      <c r="H612" s="18">
        <v>1</v>
      </c>
      <c r="I612" s="18" t="s">
        <v>146</v>
      </c>
    </row>
    <row r="613" spans="1:9" ht="15.75" customHeight="1" x14ac:dyDescent="0.2">
      <c r="A613" s="18" t="s">
        <v>44</v>
      </c>
      <c r="B613" s="19" t="s">
        <v>564</v>
      </c>
      <c r="C613" s="20" t="s">
        <v>625</v>
      </c>
      <c r="D613" s="21" t="s">
        <v>77</v>
      </c>
      <c r="E613" s="105"/>
      <c r="F613" s="18">
        <v>350412</v>
      </c>
      <c r="G613" s="19" t="s">
        <v>711</v>
      </c>
      <c r="H613" s="18">
        <v>1</v>
      </c>
      <c r="I613" s="18" t="s">
        <v>146</v>
      </c>
    </row>
    <row r="614" spans="1:9" ht="15.75" customHeight="1" x14ac:dyDescent="0.2">
      <c r="A614" s="18" t="s">
        <v>44</v>
      </c>
      <c r="B614" s="19" t="s">
        <v>564</v>
      </c>
      <c r="C614" s="20" t="s">
        <v>625</v>
      </c>
      <c r="D614" s="21" t="s">
        <v>77</v>
      </c>
      <c r="E614" s="103" t="e" vm="107">
        <v>#VALUE!</v>
      </c>
      <c r="F614" s="18">
        <v>351303</v>
      </c>
      <c r="G614" s="19" t="s">
        <v>712</v>
      </c>
      <c r="H614" s="18">
        <v>30</v>
      </c>
      <c r="I614" s="18" t="s">
        <v>48</v>
      </c>
    </row>
    <row r="615" spans="1:9" ht="15.75" customHeight="1" x14ac:dyDescent="0.2">
      <c r="A615" s="18" t="s">
        <v>44</v>
      </c>
      <c r="B615" s="19" t="s">
        <v>564</v>
      </c>
      <c r="C615" s="20" t="s">
        <v>625</v>
      </c>
      <c r="D615" s="21" t="s">
        <v>77</v>
      </c>
      <c r="E615" s="104"/>
      <c r="F615" s="18">
        <v>351308</v>
      </c>
      <c r="G615" s="19" t="s">
        <v>713</v>
      </c>
      <c r="H615" s="18">
        <v>30</v>
      </c>
      <c r="I615" s="18" t="s">
        <v>48</v>
      </c>
    </row>
    <row r="616" spans="1:9" ht="15.75" customHeight="1" x14ac:dyDescent="0.2">
      <c r="A616" s="18" t="s">
        <v>44</v>
      </c>
      <c r="B616" s="19" t="s">
        <v>564</v>
      </c>
      <c r="C616" s="20" t="s">
        <v>625</v>
      </c>
      <c r="D616" s="21" t="s">
        <v>77</v>
      </c>
      <c r="E616" s="104"/>
      <c r="F616" s="18">
        <v>351304</v>
      </c>
      <c r="G616" s="19" t="s">
        <v>714</v>
      </c>
      <c r="H616" s="18">
        <v>20</v>
      </c>
      <c r="I616" s="18" t="s">
        <v>48</v>
      </c>
    </row>
    <row r="617" spans="1:9" ht="15.75" customHeight="1" x14ac:dyDescent="0.2">
      <c r="A617" s="18" t="s">
        <v>44</v>
      </c>
      <c r="B617" s="19" t="s">
        <v>564</v>
      </c>
      <c r="C617" s="20" t="s">
        <v>625</v>
      </c>
      <c r="D617" s="21" t="s">
        <v>77</v>
      </c>
      <c r="E617" s="104"/>
      <c r="F617" s="18">
        <v>351309</v>
      </c>
      <c r="G617" s="19" t="s">
        <v>715</v>
      </c>
      <c r="H617" s="18">
        <v>18</v>
      </c>
      <c r="I617" s="18" t="s">
        <v>48</v>
      </c>
    </row>
    <row r="618" spans="1:9" ht="15.75" customHeight="1" x14ac:dyDescent="0.2">
      <c r="A618" s="18" t="s">
        <v>44</v>
      </c>
      <c r="B618" s="19" t="s">
        <v>564</v>
      </c>
      <c r="C618" s="20" t="s">
        <v>625</v>
      </c>
      <c r="D618" s="21" t="s">
        <v>77</v>
      </c>
      <c r="E618" s="104"/>
      <c r="F618" s="18">
        <v>351310</v>
      </c>
      <c r="G618" s="19" t="s">
        <v>716</v>
      </c>
      <c r="H618" s="18">
        <v>16</v>
      </c>
      <c r="I618" s="18" t="s">
        <v>48</v>
      </c>
    </row>
    <row r="619" spans="1:9" ht="15.75" customHeight="1" x14ac:dyDescent="0.2">
      <c r="A619" s="18" t="s">
        <v>44</v>
      </c>
      <c r="B619" s="19" t="s">
        <v>564</v>
      </c>
      <c r="C619" s="20" t="s">
        <v>625</v>
      </c>
      <c r="D619" s="21" t="s">
        <v>77</v>
      </c>
      <c r="E619" s="104"/>
      <c r="F619" s="18">
        <v>351305</v>
      </c>
      <c r="G619" s="19" t="s">
        <v>717</v>
      </c>
      <c r="H619" s="18">
        <v>15</v>
      </c>
      <c r="I619" s="18" t="s">
        <v>48</v>
      </c>
    </row>
    <row r="620" spans="1:9" ht="15.75" customHeight="1" x14ac:dyDescent="0.2">
      <c r="A620" s="18" t="s">
        <v>44</v>
      </c>
      <c r="B620" s="19" t="s">
        <v>564</v>
      </c>
      <c r="C620" s="20" t="s">
        <v>625</v>
      </c>
      <c r="D620" s="21" t="s">
        <v>77</v>
      </c>
      <c r="E620" s="104"/>
      <c r="F620" s="18">
        <v>351311</v>
      </c>
      <c r="G620" s="19" t="s">
        <v>718</v>
      </c>
      <c r="H620" s="18">
        <v>10</v>
      </c>
      <c r="I620" s="18" t="s">
        <v>48</v>
      </c>
    </row>
    <row r="621" spans="1:9" ht="15.75" customHeight="1" x14ac:dyDescent="0.2">
      <c r="A621" s="18" t="s">
        <v>44</v>
      </c>
      <c r="B621" s="19" t="s">
        <v>564</v>
      </c>
      <c r="C621" s="20" t="s">
        <v>625</v>
      </c>
      <c r="D621" s="21" t="s">
        <v>77</v>
      </c>
      <c r="E621" s="104"/>
      <c r="F621" s="18">
        <v>351312</v>
      </c>
      <c r="G621" s="19" t="s">
        <v>719</v>
      </c>
      <c r="H621" s="18">
        <v>12</v>
      </c>
      <c r="I621" s="18" t="s">
        <v>48</v>
      </c>
    </row>
    <row r="622" spans="1:9" ht="15.75" customHeight="1" x14ac:dyDescent="0.2">
      <c r="A622" s="18" t="s">
        <v>44</v>
      </c>
      <c r="B622" s="19" t="s">
        <v>564</v>
      </c>
      <c r="C622" s="20" t="s">
        <v>625</v>
      </c>
      <c r="D622" s="21" t="s">
        <v>77</v>
      </c>
      <c r="E622" s="104"/>
      <c r="F622" s="18">
        <v>351306</v>
      </c>
      <c r="G622" s="19" t="s">
        <v>720</v>
      </c>
      <c r="H622" s="18">
        <v>10</v>
      </c>
      <c r="I622" s="18" t="s">
        <v>48</v>
      </c>
    </row>
    <row r="623" spans="1:9" ht="15.75" customHeight="1" x14ac:dyDescent="0.2">
      <c r="A623" s="18" t="s">
        <v>44</v>
      </c>
      <c r="B623" s="19" t="s">
        <v>564</v>
      </c>
      <c r="C623" s="20" t="s">
        <v>625</v>
      </c>
      <c r="D623" s="21" t="s">
        <v>77</v>
      </c>
      <c r="E623" s="104"/>
      <c r="F623" s="18">
        <v>351307</v>
      </c>
      <c r="G623" s="19" t="s">
        <v>721</v>
      </c>
      <c r="H623" s="18">
        <v>7</v>
      </c>
      <c r="I623" s="18" t="s">
        <v>48</v>
      </c>
    </row>
    <row r="624" spans="1:9" ht="15.75" customHeight="1" x14ac:dyDescent="0.2">
      <c r="A624" s="18" t="s">
        <v>44</v>
      </c>
      <c r="B624" s="19" t="s">
        <v>564</v>
      </c>
      <c r="C624" s="20" t="s">
        <v>625</v>
      </c>
      <c r="D624" s="21" t="s">
        <v>77</v>
      </c>
      <c r="E624" s="104"/>
      <c r="F624" s="18">
        <v>351315</v>
      </c>
      <c r="G624" s="19" t="s">
        <v>722</v>
      </c>
      <c r="H624" s="18">
        <v>5</v>
      </c>
      <c r="I624" s="18" t="s">
        <v>48</v>
      </c>
    </row>
    <row r="625" spans="1:9" ht="15.75" customHeight="1" x14ac:dyDescent="0.2">
      <c r="A625" s="18" t="s">
        <v>44</v>
      </c>
      <c r="B625" s="19" t="s">
        <v>564</v>
      </c>
      <c r="C625" s="20" t="s">
        <v>625</v>
      </c>
      <c r="D625" s="21" t="s">
        <v>77</v>
      </c>
      <c r="E625" s="104"/>
      <c r="F625" s="18">
        <v>351316</v>
      </c>
      <c r="G625" s="19" t="s">
        <v>723</v>
      </c>
      <c r="H625" s="18">
        <v>1</v>
      </c>
      <c r="I625" s="18" t="s">
        <v>48</v>
      </c>
    </row>
    <row r="626" spans="1:9" ht="15.75" customHeight="1" x14ac:dyDescent="0.2">
      <c r="A626" s="18" t="s">
        <v>44</v>
      </c>
      <c r="B626" s="19" t="s">
        <v>564</v>
      </c>
      <c r="C626" s="20" t="s">
        <v>625</v>
      </c>
      <c r="D626" s="21" t="s">
        <v>77</v>
      </c>
      <c r="E626" s="104"/>
      <c r="F626" s="18">
        <v>351317</v>
      </c>
      <c r="G626" s="19" t="s">
        <v>724</v>
      </c>
      <c r="H626" s="18">
        <v>1</v>
      </c>
      <c r="I626" s="18" t="s">
        <v>48</v>
      </c>
    </row>
    <row r="627" spans="1:9" ht="15.75" customHeight="1" x14ac:dyDescent="0.2">
      <c r="A627" s="18" t="s">
        <v>44</v>
      </c>
      <c r="B627" s="19" t="s">
        <v>564</v>
      </c>
      <c r="C627" s="20" t="s">
        <v>625</v>
      </c>
      <c r="D627" s="21" t="s">
        <v>77</v>
      </c>
      <c r="E627" s="104"/>
      <c r="F627" s="18">
        <v>351318</v>
      </c>
      <c r="G627" s="19" t="s">
        <v>725</v>
      </c>
      <c r="H627" s="18">
        <v>1</v>
      </c>
      <c r="I627" s="18" t="s">
        <v>48</v>
      </c>
    </row>
    <row r="628" spans="1:9" ht="15.75" customHeight="1" x14ac:dyDescent="0.2">
      <c r="A628" s="18" t="s">
        <v>44</v>
      </c>
      <c r="B628" s="19" t="s">
        <v>564</v>
      </c>
      <c r="C628" s="20" t="s">
        <v>625</v>
      </c>
      <c r="D628" s="21" t="s">
        <v>77</v>
      </c>
      <c r="E628" s="104"/>
      <c r="F628" s="18">
        <v>351319</v>
      </c>
      <c r="G628" s="19" t="s">
        <v>726</v>
      </c>
      <c r="H628" s="18">
        <v>1</v>
      </c>
      <c r="I628" s="18" t="s">
        <v>146</v>
      </c>
    </row>
    <row r="629" spans="1:9" ht="15.75" customHeight="1" x14ac:dyDescent="0.2">
      <c r="A629" s="18" t="s">
        <v>44</v>
      </c>
      <c r="B629" s="19" t="s">
        <v>564</v>
      </c>
      <c r="C629" s="20" t="s">
        <v>625</v>
      </c>
      <c r="D629" s="21" t="s">
        <v>77</v>
      </c>
      <c r="E629" s="104"/>
      <c r="F629" s="18">
        <v>351320</v>
      </c>
      <c r="G629" s="19" t="s">
        <v>727</v>
      </c>
      <c r="H629" s="18">
        <v>1</v>
      </c>
      <c r="I629" s="18" t="s">
        <v>146</v>
      </c>
    </row>
    <row r="630" spans="1:9" ht="15.75" customHeight="1" x14ac:dyDescent="0.2">
      <c r="A630" s="18" t="s">
        <v>44</v>
      </c>
      <c r="B630" s="19" t="s">
        <v>564</v>
      </c>
      <c r="C630" s="20" t="s">
        <v>625</v>
      </c>
      <c r="D630" s="21" t="s">
        <v>77</v>
      </c>
      <c r="E630" s="104"/>
      <c r="F630" s="18">
        <v>351321</v>
      </c>
      <c r="G630" s="19" t="s">
        <v>728</v>
      </c>
      <c r="H630" s="18">
        <v>1</v>
      </c>
      <c r="I630" s="18" t="s">
        <v>146</v>
      </c>
    </row>
    <row r="631" spans="1:9" ht="15.75" customHeight="1" x14ac:dyDescent="0.2">
      <c r="A631" s="18" t="s">
        <v>44</v>
      </c>
      <c r="B631" s="19" t="s">
        <v>564</v>
      </c>
      <c r="C631" s="20" t="s">
        <v>625</v>
      </c>
      <c r="D631" s="21" t="s">
        <v>77</v>
      </c>
      <c r="E631" s="104"/>
      <c r="F631" s="18">
        <v>351322</v>
      </c>
      <c r="G631" s="19" t="s">
        <v>729</v>
      </c>
      <c r="H631" s="18">
        <v>1</v>
      </c>
      <c r="I631" s="18" t="s">
        <v>146</v>
      </c>
    </row>
    <row r="632" spans="1:9" ht="15.75" customHeight="1" x14ac:dyDescent="0.2">
      <c r="A632" s="18" t="s">
        <v>44</v>
      </c>
      <c r="B632" s="19" t="s">
        <v>564</v>
      </c>
      <c r="C632" s="20" t="s">
        <v>625</v>
      </c>
      <c r="D632" s="21" t="s">
        <v>77</v>
      </c>
      <c r="E632" s="104"/>
      <c r="F632" s="18">
        <v>351335</v>
      </c>
      <c r="G632" s="19" t="s">
        <v>730</v>
      </c>
      <c r="H632" s="18">
        <v>1</v>
      </c>
      <c r="I632" s="18" t="s">
        <v>146</v>
      </c>
    </row>
    <row r="633" spans="1:9" ht="15.75" customHeight="1" x14ac:dyDescent="0.2">
      <c r="A633" s="18" t="s">
        <v>44</v>
      </c>
      <c r="B633" s="19" t="s">
        <v>564</v>
      </c>
      <c r="C633" s="20" t="s">
        <v>625</v>
      </c>
      <c r="D633" s="21" t="s">
        <v>77</v>
      </c>
      <c r="E633" s="104"/>
      <c r="F633" s="18">
        <v>351336</v>
      </c>
      <c r="G633" s="19" t="s">
        <v>731</v>
      </c>
      <c r="H633" s="18">
        <v>1</v>
      </c>
      <c r="I633" s="18" t="s">
        <v>146</v>
      </c>
    </row>
    <row r="634" spans="1:9" ht="15.75" customHeight="1" x14ac:dyDescent="0.2">
      <c r="A634" s="18" t="s">
        <v>44</v>
      </c>
      <c r="B634" s="19" t="s">
        <v>564</v>
      </c>
      <c r="C634" s="20" t="s">
        <v>625</v>
      </c>
      <c r="D634" s="21" t="s">
        <v>77</v>
      </c>
      <c r="E634" s="104"/>
      <c r="F634" s="18">
        <v>351323</v>
      </c>
      <c r="G634" s="19" t="s">
        <v>732</v>
      </c>
      <c r="H634" s="18">
        <v>1</v>
      </c>
      <c r="I634" s="18" t="s">
        <v>146</v>
      </c>
    </row>
    <row r="635" spans="1:9" ht="15.75" customHeight="1" x14ac:dyDescent="0.2">
      <c r="A635" s="18" t="s">
        <v>44</v>
      </c>
      <c r="B635" s="19" t="s">
        <v>564</v>
      </c>
      <c r="C635" s="20" t="s">
        <v>625</v>
      </c>
      <c r="D635" s="21" t="s">
        <v>77</v>
      </c>
      <c r="E635" s="104"/>
      <c r="F635" s="18">
        <v>351324</v>
      </c>
      <c r="G635" s="19" t="s">
        <v>733</v>
      </c>
      <c r="H635" s="18">
        <v>1</v>
      </c>
      <c r="I635" s="18" t="s">
        <v>146</v>
      </c>
    </row>
    <row r="636" spans="1:9" ht="15.75" customHeight="1" x14ac:dyDescent="0.2">
      <c r="A636" s="18" t="s">
        <v>44</v>
      </c>
      <c r="B636" s="19" t="s">
        <v>564</v>
      </c>
      <c r="C636" s="20" t="s">
        <v>625</v>
      </c>
      <c r="D636" s="21" t="s">
        <v>77</v>
      </c>
      <c r="E636" s="104"/>
      <c r="F636" s="18">
        <v>351325</v>
      </c>
      <c r="G636" s="19" t="s">
        <v>734</v>
      </c>
      <c r="H636" s="18">
        <v>1</v>
      </c>
      <c r="I636" s="18" t="s">
        <v>146</v>
      </c>
    </row>
    <row r="637" spans="1:9" ht="15.75" customHeight="1" x14ac:dyDescent="0.2">
      <c r="A637" s="18" t="s">
        <v>44</v>
      </c>
      <c r="B637" s="19" t="s">
        <v>564</v>
      </c>
      <c r="C637" s="20" t="s">
        <v>625</v>
      </c>
      <c r="D637" s="21" t="s">
        <v>77</v>
      </c>
      <c r="E637" s="104"/>
      <c r="F637" s="18">
        <v>351326</v>
      </c>
      <c r="G637" s="19" t="s">
        <v>735</v>
      </c>
      <c r="H637" s="18">
        <v>1</v>
      </c>
      <c r="I637" s="18" t="s">
        <v>146</v>
      </c>
    </row>
    <row r="638" spans="1:9" ht="15.75" customHeight="1" x14ac:dyDescent="0.2">
      <c r="A638" s="18" t="s">
        <v>44</v>
      </c>
      <c r="B638" s="19" t="s">
        <v>564</v>
      </c>
      <c r="C638" s="20" t="s">
        <v>625</v>
      </c>
      <c r="D638" s="21" t="s">
        <v>77</v>
      </c>
      <c r="E638" s="104"/>
      <c r="F638" s="18">
        <v>351327</v>
      </c>
      <c r="G638" s="19" t="s">
        <v>736</v>
      </c>
      <c r="H638" s="18">
        <v>1</v>
      </c>
      <c r="I638" s="18" t="s">
        <v>146</v>
      </c>
    </row>
    <row r="639" spans="1:9" ht="15.75" customHeight="1" x14ac:dyDescent="0.2">
      <c r="A639" s="18" t="s">
        <v>44</v>
      </c>
      <c r="B639" s="19" t="s">
        <v>564</v>
      </c>
      <c r="C639" s="20" t="s">
        <v>625</v>
      </c>
      <c r="D639" s="21" t="s">
        <v>77</v>
      </c>
      <c r="E639" s="104"/>
      <c r="F639" s="18">
        <v>351328</v>
      </c>
      <c r="G639" s="19" t="s">
        <v>737</v>
      </c>
      <c r="H639" s="18">
        <v>1</v>
      </c>
      <c r="I639" s="18" t="s">
        <v>146</v>
      </c>
    </row>
    <row r="640" spans="1:9" ht="15.75" customHeight="1" x14ac:dyDescent="0.2">
      <c r="A640" s="18" t="s">
        <v>44</v>
      </c>
      <c r="B640" s="19" t="s">
        <v>564</v>
      </c>
      <c r="C640" s="20" t="s">
        <v>625</v>
      </c>
      <c r="D640" s="21" t="s">
        <v>77</v>
      </c>
      <c r="E640" s="104"/>
      <c r="F640" s="18">
        <v>351329</v>
      </c>
      <c r="G640" s="19" t="s">
        <v>738</v>
      </c>
      <c r="H640" s="18">
        <v>1</v>
      </c>
      <c r="I640" s="18" t="s">
        <v>146</v>
      </c>
    </row>
    <row r="641" spans="1:9" ht="15.75" customHeight="1" x14ac:dyDescent="0.2">
      <c r="A641" s="18" t="s">
        <v>44</v>
      </c>
      <c r="B641" s="19" t="s">
        <v>564</v>
      </c>
      <c r="C641" s="20" t="s">
        <v>625</v>
      </c>
      <c r="D641" s="21" t="s">
        <v>77</v>
      </c>
      <c r="E641" s="104"/>
      <c r="F641" s="18">
        <v>351330</v>
      </c>
      <c r="G641" s="19" t="s">
        <v>739</v>
      </c>
      <c r="H641" s="18">
        <v>1</v>
      </c>
      <c r="I641" s="18" t="s">
        <v>146</v>
      </c>
    </row>
    <row r="642" spans="1:9" ht="15.75" customHeight="1" x14ac:dyDescent="0.2">
      <c r="A642" s="18" t="s">
        <v>44</v>
      </c>
      <c r="B642" s="19" t="s">
        <v>564</v>
      </c>
      <c r="C642" s="20" t="s">
        <v>625</v>
      </c>
      <c r="D642" s="21" t="s">
        <v>77</v>
      </c>
      <c r="E642" s="104"/>
      <c r="F642" s="18">
        <v>351331</v>
      </c>
      <c r="G642" s="19" t="s">
        <v>740</v>
      </c>
      <c r="H642" s="18">
        <v>1</v>
      </c>
      <c r="I642" s="18" t="s">
        <v>146</v>
      </c>
    </row>
    <row r="643" spans="1:9" ht="15.75" customHeight="1" x14ac:dyDescent="0.2">
      <c r="A643" s="18" t="s">
        <v>44</v>
      </c>
      <c r="B643" s="19" t="s">
        <v>564</v>
      </c>
      <c r="C643" s="20" t="s">
        <v>625</v>
      </c>
      <c r="D643" s="21" t="s">
        <v>77</v>
      </c>
      <c r="E643" s="105"/>
      <c r="F643" s="18">
        <v>351332</v>
      </c>
      <c r="G643" s="19" t="s">
        <v>741</v>
      </c>
      <c r="H643" s="18">
        <v>1</v>
      </c>
      <c r="I643" s="18" t="s">
        <v>146</v>
      </c>
    </row>
    <row r="644" spans="1:9" ht="15.75" customHeight="1" x14ac:dyDescent="0.2">
      <c r="A644" s="18" t="s">
        <v>44</v>
      </c>
      <c r="B644" s="19" t="s">
        <v>564</v>
      </c>
      <c r="C644" s="20" t="s">
        <v>625</v>
      </c>
      <c r="D644" s="21" t="s">
        <v>77</v>
      </c>
      <c r="E644" s="111" t="e" vm="108">
        <v>#VALUE!</v>
      </c>
      <c r="F644" s="18">
        <v>350421</v>
      </c>
      <c r="G644" s="19" t="s">
        <v>742</v>
      </c>
      <c r="H644" s="18">
        <v>25</v>
      </c>
      <c r="I644" s="18" t="s">
        <v>48</v>
      </c>
    </row>
    <row r="645" spans="1:9" ht="15.75" customHeight="1" x14ac:dyDescent="0.2">
      <c r="A645" s="18" t="s">
        <v>44</v>
      </c>
      <c r="B645" s="19" t="s">
        <v>564</v>
      </c>
      <c r="C645" s="20" t="s">
        <v>625</v>
      </c>
      <c r="D645" s="21" t="s">
        <v>77</v>
      </c>
      <c r="E645" s="111"/>
      <c r="F645" s="18">
        <v>350422</v>
      </c>
      <c r="G645" s="19" t="s">
        <v>743</v>
      </c>
      <c r="H645" s="18">
        <v>20</v>
      </c>
      <c r="I645" s="18" t="s">
        <v>48</v>
      </c>
    </row>
    <row r="646" spans="1:9" ht="15.75" customHeight="1" x14ac:dyDescent="0.2">
      <c r="A646" s="18" t="s">
        <v>44</v>
      </c>
      <c r="B646" s="19" t="s">
        <v>564</v>
      </c>
      <c r="C646" s="20" t="s">
        <v>625</v>
      </c>
      <c r="D646" s="21" t="s">
        <v>77</v>
      </c>
      <c r="E646" s="111"/>
      <c r="F646" s="18">
        <v>350423</v>
      </c>
      <c r="G646" s="19" t="s">
        <v>744</v>
      </c>
      <c r="H646" s="18">
        <v>20</v>
      </c>
      <c r="I646" s="18" t="s">
        <v>48</v>
      </c>
    </row>
    <row r="647" spans="1:9" ht="15.75" customHeight="1" x14ac:dyDescent="0.2">
      <c r="A647" s="18" t="s">
        <v>44</v>
      </c>
      <c r="B647" s="19" t="s">
        <v>564</v>
      </c>
      <c r="C647" s="20" t="s">
        <v>625</v>
      </c>
      <c r="D647" s="21" t="s">
        <v>77</v>
      </c>
      <c r="E647" s="111"/>
      <c r="F647" s="18">
        <v>350424</v>
      </c>
      <c r="G647" s="19" t="s">
        <v>745</v>
      </c>
      <c r="H647" s="18">
        <v>20</v>
      </c>
      <c r="I647" s="18" t="s">
        <v>48</v>
      </c>
    </row>
    <row r="648" spans="1:9" ht="15.75" customHeight="1" x14ac:dyDescent="0.2">
      <c r="A648" s="18" t="s">
        <v>44</v>
      </c>
      <c r="B648" s="19" t="s">
        <v>564</v>
      </c>
      <c r="C648" s="20" t="s">
        <v>625</v>
      </c>
      <c r="D648" s="21" t="s">
        <v>77</v>
      </c>
      <c r="E648" s="111"/>
      <c r="F648" s="18">
        <v>350425</v>
      </c>
      <c r="G648" s="19" t="s">
        <v>746</v>
      </c>
      <c r="H648" s="18">
        <v>20</v>
      </c>
      <c r="I648" s="18" t="s">
        <v>48</v>
      </c>
    </row>
    <row r="649" spans="1:9" ht="15.75" customHeight="1" x14ac:dyDescent="0.2">
      <c r="A649" s="18" t="s">
        <v>44</v>
      </c>
      <c r="B649" s="19" t="s">
        <v>564</v>
      </c>
      <c r="C649" s="20" t="s">
        <v>625</v>
      </c>
      <c r="D649" s="21" t="s">
        <v>77</v>
      </c>
      <c r="E649" s="111"/>
      <c r="F649" s="18">
        <v>350426</v>
      </c>
      <c r="G649" s="19" t="s">
        <v>747</v>
      </c>
      <c r="H649" s="18">
        <v>13</v>
      </c>
      <c r="I649" s="18" t="s">
        <v>48</v>
      </c>
    </row>
    <row r="650" spans="1:9" ht="15.75" customHeight="1" x14ac:dyDescent="0.2">
      <c r="A650" s="18" t="s">
        <v>44</v>
      </c>
      <c r="B650" s="19" t="s">
        <v>564</v>
      </c>
      <c r="C650" s="20" t="s">
        <v>625</v>
      </c>
      <c r="D650" s="21" t="s">
        <v>77</v>
      </c>
      <c r="E650" s="111"/>
      <c r="F650" s="18">
        <v>350427</v>
      </c>
      <c r="G650" s="19" t="s">
        <v>748</v>
      </c>
      <c r="H650" s="18">
        <v>10</v>
      </c>
      <c r="I650" s="18" t="s">
        <v>48</v>
      </c>
    </row>
    <row r="651" spans="1:9" ht="15.75" customHeight="1" x14ac:dyDescent="0.2">
      <c r="A651" s="18" t="s">
        <v>44</v>
      </c>
      <c r="B651" s="19" t="s">
        <v>564</v>
      </c>
      <c r="C651" s="20" t="s">
        <v>625</v>
      </c>
      <c r="D651" s="21" t="s">
        <v>77</v>
      </c>
      <c r="E651" s="111"/>
      <c r="F651" s="18">
        <v>350428</v>
      </c>
      <c r="G651" s="19" t="s">
        <v>749</v>
      </c>
      <c r="H651" s="18">
        <v>8</v>
      </c>
      <c r="I651" s="18" t="s">
        <v>48</v>
      </c>
    </row>
    <row r="652" spans="1:9" ht="15.75" customHeight="1" x14ac:dyDescent="0.2">
      <c r="A652" s="18" t="s">
        <v>44</v>
      </c>
      <c r="B652" s="19" t="s">
        <v>564</v>
      </c>
      <c r="C652" s="20" t="s">
        <v>625</v>
      </c>
      <c r="D652" s="21" t="s">
        <v>77</v>
      </c>
      <c r="E652" s="111"/>
      <c r="F652" s="18">
        <v>350429</v>
      </c>
      <c r="G652" s="19" t="s">
        <v>750</v>
      </c>
      <c r="H652" s="18">
        <v>8</v>
      </c>
      <c r="I652" s="18" t="s">
        <v>48</v>
      </c>
    </row>
    <row r="653" spans="1:9" ht="15.75" customHeight="1" x14ac:dyDescent="0.2">
      <c r="A653" s="18" t="s">
        <v>44</v>
      </c>
      <c r="B653" s="19" t="s">
        <v>564</v>
      </c>
      <c r="C653" s="20" t="s">
        <v>625</v>
      </c>
      <c r="D653" s="21" t="s">
        <v>77</v>
      </c>
      <c r="E653" s="111"/>
      <c r="F653" s="18">
        <v>350430</v>
      </c>
      <c r="G653" s="19" t="s">
        <v>751</v>
      </c>
      <c r="H653" s="18">
        <v>1</v>
      </c>
      <c r="I653" s="18" t="s">
        <v>146</v>
      </c>
    </row>
    <row r="654" spans="1:9" ht="15.75" customHeight="1" x14ac:dyDescent="0.2">
      <c r="A654" s="18" t="s">
        <v>44</v>
      </c>
      <c r="B654" s="19" t="s">
        <v>564</v>
      </c>
      <c r="C654" s="20" t="s">
        <v>625</v>
      </c>
      <c r="D654" s="21" t="s">
        <v>77</v>
      </c>
      <c r="E654" s="111"/>
      <c r="F654" s="18">
        <v>350431</v>
      </c>
      <c r="G654" s="19" t="s">
        <v>752</v>
      </c>
      <c r="H654" s="18">
        <v>1</v>
      </c>
      <c r="I654" s="18" t="s">
        <v>146</v>
      </c>
    </row>
    <row r="655" spans="1:9" ht="15.75" customHeight="1" x14ac:dyDescent="0.2">
      <c r="A655" s="18" t="s">
        <v>44</v>
      </c>
      <c r="B655" s="19" t="s">
        <v>564</v>
      </c>
      <c r="C655" s="20" t="s">
        <v>625</v>
      </c>
      <c r="D655" s="21" t="s">
        <v>77</v>
      </c>
      <c r="E655" s="111"/>
      <c r="F655" s="18">
        <v>350432</v>
      </c>
      <c r="G655" s="19" t="s">
        <v>753</v>
      </c>
      <c r="H655" s="18">
        <v>1</v>
      </c>
      <c r="I655" s="18" t="s">
        <v>146</v>
      </c>
    </row>
    <row r="656" spans="1:9" ht="45" customHeight="1" x14ac:dyDescent="0.2">
      <c r="A656" s="18" t="s">
        <v>44</v>
      </c>
      <c r="B656" s="19" t="s">
        <v>564</v>
      </c>
      <c r="C656" s="20" t="s">
        <v>625</v>
      </c>
      <c r="D656" s="21" t="s">
        <v>77</v>
      </c>
      <c r="E656" s="77" t="e" vm="109">
        <v>#VALUE!</v>
      </c>
      <c r="F656" s="18">
        <v>351950</v>
      </c>
      <c r="G656" s="19" t="s">
        <v>754</v>
      </c>
      <c r="H656" s="18">
        <v>1</v>
      </c>
      <c r="I656" s="18" t="s">
        <v>146</v>
      </c>
    </row>
    <row r="657" spans="1:9" ht="15.75" customHeight="1" x14ac:dyDescent="0.2">
      <c r="A657" s="18" t="s">
        <v>44</v>
      </c>
      <c r="B657" s="19" t="s">
        <v>564</v>
      </c>
      <c r="C657" s="20" t="s">
        <v>625</v>
      </c>
      <c r="D657" s="21" t="s">
        <v>77</v>
      </c>
      <c r="E657" s="103" t="e" vm="110">
        <v>#VALUE!</v>
      </c>
      <c r="F657" s="18">
        <v>351203</v>
      </c>
      <c r="G657" s="19" t="s">
        <v>755</v>
      </c>
      <c r="H657" s="18">
        <v>30</v>
      </c>
      <c r="I657" s="18" t="s">
        <v>48</v>
      </c>
    </row>
    <row r="658" spans="1:9" ht="15.75" customHeight="1" x14ac:dyDescent="0.2">
      <c r="A658" s="18" t="s">
        <v>44</v>
      </c>
      <c r="B658" s="19" t="s">
        <v>564</v>
      </c>
      <c r="C658" s="20" t="s">
        <v>625</v>
      </c>
      <c r="D658" s="21" t="s">
        <v>77</v>
      </c>
      <c r="E658" s="104"/>
      <c r="F658" s="18">
        <v>351108</v>
      </c>
      <c r="G658" s="19" t="s">
        <v>756</v>
      </c>
      <c r="H658" s="18">
        <v>18</v>
      </c>
      <c r="I658" s="18" t="s">
        <v>48</v>
      </c>
    </row>
    <row r="659" spans="1:9" ht="15.75" customHeight="1" x14ac:dyDescent="0.2">
      <c r="A659" s="18" t="s">
        <v>44</v>
      </c>
      <c r="B659" s="19" t="s">
        <v>564</v>
      </c>
      <c r="C659" s="20" t="s">
        <v>625</v>
      </c>
      <c r="D659" s="21" t="s">
        <v>77</v>
      </c>
      <c r="E659" s="104"/>
      <c r="F659" s="18">
        <v>351204</v>
      </c>
      <c r="G659" s="19" t="s">
        <v>757</v>
      </c>
      <c r="H659" s="18">
        <v>12</v>
      </c>
      <c r="I659" s="18" t="s">
        <v>48</v>
      </c>
    </row>
    <row r="660" spans="1:9" ht="15.75" customHeight="1" x14ac:dyDescent="0.2">
      <c r="A660" s="18" t="s">
        <v>44</v>
      </c>
      <c r="B660" s="19" t="s">
        <v>564</v>
      </c>
      <c r="C660" s="20" t="s">
        <v>625</v>
      </c>
      <c r="D660" s="21" t="s">
        <v>77</v>
      </c>
      <c r="E660" s="104"/>
      <c r="F660" s="18">
        <v>351109</v>
      </c>
      <c r="G660" s="19" t="s">
        <v>758</v>
      </c>
      <c r="H660" s="18">
        <v>15</v>
      </c>
      <c r="I660" s="18" t="s">
        <v>48</v>
      </c>
    </row>
    <row r="661" spans="1:9" ht="15.75" customHeight="1" x14ac:dyDescent="0.2">
      <c r="A661" s="18" t="s">
        <v>44</v>
      </c>
      <c r="B661" s="19" t="s">
        <v>564</v>
      </c>
      <c r="C661" s="20" t="s">
        <v>625</v>
      </c>
      <c r="D661" s="21" t="s">
        <v>77</v>
      </c>
      <c r="E661" s="104"/>
      <c r="F661" s="18">
        <v>351110</v>
      </c>
      <c r="G661" s="19" t="s">
        <v>759</v>
      </c>
      <c r="H661" s="18">
        <v>10</v>
      </c>
      <c r="I661" s="18" t="s">
        <v>48</v>
      </c>
    </row>
    <row r="662" spans="1:9" ht="15.75" customHeight="1" x14ac:dyDescent="0.2">
      <c r="A662" s="18" t="s">
        <v>44</v>
      </c>
      <c r="B662" s="19" t="s">
        <v>564</v>
      </c>
      <c r="C662" s="20" t="s">
        <v>625</v>
      </c>
      <c r="D662" s="21" t="s">
        <v>77</v>
      </c>
      <c r="E662" s="104"/>
      <c r="F662" s="18">
        <v>351205</v>
      </c>
      <c r="G662" s="19" t="s">
        <v>760</v>
      </c>
      <c r="H662" s="18">
        <v>10</v>
      </c>
      <c r="I662" s="18" t="s">
        <v>48</v>
      </c>
    </row>
    <row r="663" spans="1:9" ht="15.75" customHeight="1" x14ac:dyDescent="0.2">
      <c r="A663" s="18" t="s">
        <v>44</v>
      </c>
      <c r="B663" s="19" t="s">
        <v>564</v>
      </c>
      <c r="C663" s="20" t="s">
        <v>625</v>
      </c>
      <c r="D663" s="21" t="s">
        <v>77</v>
      </c>
      <c r="E663" s="104"/>
      <c r="F663" s="18">
        <v>351111</v>
      </c>
      <c r="G663" s="19" t="s">
        <v>761</v>
      </c>
      <c r="H663" s="18">
        <v>10</v>
      </c>
      <c r="I663" s="18" t="s">
        <v>48</v>
      </c>
    </row>
    <row r="664" spans="1:9" ht="15.75" customHeight="1" x14ac:dyDescent="0.2">
      <c r="A664" s="18" t="s">
        <v>44</v>
      </c>
      <c r="B664" s="19" t="s">
        <v>564</v>
      </c>
      <c r="C664" s="20" t="s">
        <v>625</v>
      </c>
      <c r="D664" s="21" t="s">
        <v>77</v>
      </c>
      <c r="E664" s="104"/>
      <c r="F664" s="18">
        <v>351112</v>
      </c>
      <c r="G664" s="19" t="s">
        <v>762</v>
      </c>
      <c r="H664" s="18">
        <v>8</v>
      </c>
      <c r="I664" s="18" t="s">
        <v>48</v>
      </c>
    </row>
    <row r="665" spans="1:9" ht="15.75" customHeight="1" x14ac:dyDescent="0.2">
      <c r="A665" s="18" t="s">
        <v>44</v>
      </c>
      <c r="B665" s="19" t="s">
        <v>564</v>
      </c>
      <c r="C665" s="20" t="s">
        <v>625</v>
      </c>
      <c r="D665" s="21" t="s">
        <v>77</v>
      </c>
      <c r="E665" s="104"/>
      <c r="F665" s="18">
        <v>351113</v>
      </c>
      <c r="G665" s="19" t="s">
        <v>763</v>
      </c>
      <c r="H665" s="18">
        <v>8</v>
      </c>
      <c r="I665" s="18" t="s">
        <v>48</v>
      </c>
    </row>
    <row r="666" spans="1:9" ht="15.75" customHeight="1" x14ac:dyDescent="0.2">
      <c r="A666" s="18" t="s">
        <v>44</v>
      </c>
      <c r="B666" s="19" t="s">
        <v>564</v>
      </c>
      <c r="C666" s="20" t="s">
        <v>625</v>
      </c>
      <c r="D666" s="21" t="s">
        <v>77</v>
      </c>
      <c r="E666" s="104"/>
      <c r="F666" s="18">
        <v>351114</v>
      </c>
      <c r="G666" s="19" t="s">
        <v>764</v>
      </c>
      <c r="H666" s="18">
        <v>8</v>
      </c>
      <c r="I666" s="18" t="s">
        <v>48</v>
      </c>
    </row>
    <row r="667" spans="1:9" ht="15.75" customHeight="1" x14ac:dyDescent="0.2">
      <c r="A667" s="18" t="s">
        <v>44</v>
      </c>
      <c r="B667" s="19" t="s">
        <v>564</v>
      </c>
      <c r="C667" s="20" t="s">
        <v>625</v>
      </c>
      <c r="D667" s="21" t="s">
        <v>77</v>
      </c>
      <c r="E667" s="104"/>
      <c r="F667" s="18">
        <v>351115</v>
      </c>
      <c r="G667" s="19" t="s">
        <v>765</v>
      </c>
      <c r="H667" s="18">
        <v>1</v>
      </c>
      <c r="I667" s="18" t="s">
        <v>146</v>
      </c>
    </row>
    <row r="668" spans="1:9" ht="15.75" customHeight="1" x14ac:dyDescent="0.2">
      <c r="A668" s="18" t="s">
        <v>44</v>
      </c>
      <c r="B668" s="19" t="s">
        <v>564</v>
      </c>
      <c r="C668" s="20" t="s">
        <v>625</v>
      </c>
      <c r="D668" s="21" t="s">
        <v>77</v>
      </c>
      <c r="E668" s="104"/>
      <c r="F668" s="18">
        <v>351116</v>
      </c>
      <c r="G668" s="19" t="s">
        <v>766</v>
      </c>
      <c r="H668" s="18">
        <v>1</v>
      </c>
      <c r="I668" s="18" t="s">
        <v>146</v>
      </c>
    </row>
    <row r="669" spans="1:9" ht="15.75" customHeight="1" x14ac:dyDescent="0.2">
      <c r="A669" s="18" t="s">
        <v>44</v>
      </c>
      <c r="B669" s="19" t="s">
        <v>564</v>
      </c>
      <c r="C669" s="20" t="s">
        <v>625</v>
      </c>
      <c r="D669" s="21" t="s">
        <v>77</v>
      </c>
      <c r="E669" s="104"/>
      <c r="F669" s="18">
        <v>351117</v>
      </c>
      <c r="G669" s="19" t="s">
        <v>767</v>
      </c>
      <c r="H669" s="18">
        <v>1</v>
      </c>
      <c r="I669" s="18" t="s">
        <v>146</v>
      </c>
    </row>
    <row r="670" spans="1:9" ht="15.75" customHeight="1" x14ac:dyDescent="0.2">
      <c r="A670" s="18" t="s">
        <v>44</v>
      </c>
      <c r="B670" s="19" t="s">
        <v>564</v>
      </c>
      <c r="C670" s="20" t="s">
        <v>625</v>
      </c>
      <c r="D670" s="21" t="s">
        <v>77</v>
      </c>
      <c r="E670" s="104"/>
      <c r="F670" s="18">
        <v>351107</v>
      </c>
      <c r="G670" s="19" t="s">
        <v>768</v>
      </c>
      <c r="H670" s="18">
        <v>1</v>
      </c>
      <c r="I670" s="18" t="s">
        <v>146</v>
      </c>
    </row>
    <row r="671" spans="1:9" ht="15.75" customHeight="1" x14ac:dyDescent="0.2">
      <c r="A671" s="18" t="s">
        <v>44</v>
      </c>
      <c r="B671" s="19" t="s">
        <v>564</v>
      </c>
      <c r="C671" s="20" t="s">
        <v>625</v>
      </c>
      <c r="D671" s="21" t="s">
        <v>77</v>
      </c>
      <c r="E671" s="104"/>
      <c r="F671" s="18">
        <v>351219</v>
      </c>
      <c r="G671" s="19" t="s">
        <v>769</v>
      </c>
      <c r="H671" s="18">
        <v>1</v>
      </c>
      <c r="I671" s="18" t="s">
        <v>146</v>
      </c>
    </row>
    <row r="672" spans="1:9" ht="15.75" customHeight="1" x14ac:dyDescent="0.2">
      <c r="A672" s="18" t="s">
        <v>44</v>
      </c>
      <c r="B672" s="19" t="s">
        <v>564</v>
      </c>
      <c r="C672" s="20" t="s">
        <v>625</v>
      </c>
      <c r="D672" s="21" t="s">
        <v>77</v>
      </c>
      <c r="E672" s="104"/>
      <c r="F672" s="18">
        <v>351220</v>
      </c>
      <c r="G672" s="19" t="s">
        <v>770</v>
      </c>
      <c r="H672" s="18">
        <v>1</v>
      </c>
      <c r="I672" s="18" t="s">
        <v>146</v>
      </c>
    </row>
    <row r="673" spans="1:9" ht="15.75" customHeight="1" x14ac:dyDescent="0.2">
      <c r="A673" s="18" t="s">
        <v>44</v>
      </c>
      <c r="B673" s="19" t="s">
        <v>564</v>
      </c>
      <c r="C673" s="20" t="s">
        <v>625</v>
      </c>
      <c r="D673" s="21" t="s">
        <v>77</v>
      </c>
      <c r="E673" s="104"/>
      <c r="F673" s="18">
        <v>351221</v>
      </c>
      <c r="G673" s="19" t="s">
        <v>771</v>
      </c>
      <c r="H673" s="18">
        <v>1</v>
      </c>
      <c r="I673" s="18" t="s">
        <v>146</v>
      </c>
    </row>
    <row r="674" spans="1:9" ht="15.75" customHeight="1" x14ac:dyDescent="0.2">
      <c r="A674" s="18" t="s">
        <v>44</v>
      </c>
      <c r="B674" s="19" t="s">
        <v>564</v>
      </c>
      <c r="C674" s="20" t="s">
        <v>625</v>
      </c>
      <c r="D674" s="21" t="s">
        <v>77</v>
      </c>
      <c r="E674" s="104"/>
      <c r="F674" s="18">
        <v>351222</v>
      </c>
      <c r="G674" s="19" t="s">
        <v>772</v>
      </c>
      <c r="H674" s="18">
        <v>1</v>
      </c>
      <c r="I674" s="18" t="s">
        <v>146</v>
      </c>
    </row>
    <row r="675" spans="1:9" ht="15.75" customHeight="1" x14ac:dyDescent="0.2">
      <c r="A675" s="18" t="s">
        <v>44</v>
      </c>
      <c r="B675" s="19" t="s">
        <v>564</v>
      </c>
      <c r="C675" s="20" t="s">
        <v>625</v>
      </c>
      <c r="D675" s="21" t="s">
        <v>77</v>
      </c>
      <c r="E675" s="104"/>
      <c r="F675" s="18">
        <v>351206</v>
      </c>
      <c r="G675" s="19" t="s">
        <v>773</v>
      </c>
      <c r="H675" s="18">
        <v>1</v>
      </c>
      <c r="I675" s="18" t="s">
        <v>146</v>
      </c>
    </row>
    <row r="676" spans="1:9" ht="15.75" customHeight="1" x14ac:dyDescent="0.2">
      <c r="A676" s="18" t="s">
        <v>44</v>
      </c>
      <c r="B676" s="19" t="s">
        <v>564</v>
      </c>
      <c r="C676" s="20" t="s">
        <v>625</v>
      </c>
      <c r="D676" s="21" t="s">
        <v>77</v>
      </c>
      <c r="E676" s="104"/>
      <c r="F676" s="18">
        <v>351207</v>
      </c>
      <c r="G676" s="19" t="s">
        <v>774</v>
      </c>
      <c r="H676" s="18">
        <v>1</v>
      </c>
      <c r="I676" s="18" t="s">
        <v>146</v>
      </c>
    </row>
    <row r="677" spans="1:9" ht="15.75" customHeight="1" x14ac:dyDescent="0.2">
      <c r="A677" s="18" t="s">
        <v>44</v>
      </c>
      <c r="B677" s="19" t="s">
        <v>564</v>
      </c>
      <c r="C677" s="20" t="s">
        <v>625</v>
      </c>
      <c r="D677" s="21" t="s">
        <v>77</v>
      </c>
      <c r="E677" s="104"/>
      <c r="F677" s="18">
        <v>351208</v>
      </c>
      <c r="G677" s="19" t="s">
        <v>775</v>
      </c>
      <c r="H677" s="18">
        <v>1</v>
      </c>
      <c r="I677" s="18" t="s">
        <v>146</v>
      </c>
    </row>
    <row r="678" spans="1:9" ht="15.75" customHeight="1" x14ac:dyDescent="0.2">
      <c r="A678" s="18" t="s">
        <v>44</v>
      </c>
      <c r="B678" s="19" t="s">
        <v>564</v>
      </c>
      <c r="C678" s="20" t="s">
        <v>625</v>
      </c>
      <c r="D678" s="21" t="s">
        <v>77</v>
      </c>
      <c r="E678" s="104"/>
      <c r="F678" s="18">
        <v>351209</v>
      </c>
      <c r="G678" s="19" t="s">
        <v>776</v>
      </c>
      <c r="H678" s="18">
        <v>1</v>
      </c>
      <c r="I678" s="18" t="s">
        <v>146</v>
      </c>
    </row>
    <row r="679" spans="1:9" ht="15.75" customHeight="1" x14ac:dyDescent="0.2">
      <c r="A679" s="18" t="s">
        <v>44</v>
      </c>
      <c r="B679" s="19" t="s">
        <v>564</v>
      </c>
      <c r="C679" s="20" t="s">
        <v>625</v>
      </c>
      <c r="D679" s="21" t="s">
        <v>77</v>
      </c>
      <c r="E679" s="104"/>
      <c r="F679" s="18">
        <v>351210</v>
      </c>
      <c r="G679" s="19" t="s">
        <v>777</v>
      </c>
      <c r="H679" s="18">
        <v>1</v>
      </c>
      <c r="I679" s="18" t="s">
        <v>146</v>
      </c>
    </row>
    <row r="680" spans="1:9" ht="15.75" customHeight="1" x14ac:dyDescent="0.2">
      <c r="A680" s="18" t="s">
        <v>44</v>
      </c>
      <c r="B680" s="19" t="s">
        <v>564</v>
      </c>
      <c r="C680" s="20" t="s">
        <v>625</v>
      </c>
      <c r="D680" s="21" t="s">
        <v>77</v>
      </c>
      <c r="E680" s="104"/>
      <c r="F680" s="18">
        <v>351211</v>
      </c>
      <c r="G680" s="19" t="s">
        <v>778</v>
      </c>
      <c r="H680" s="18">
        <v>1</v>
      </c>
      <c r="I680" s="18" t="s">
        <v>146</v>
      </c>
    </row>
    <row r="681" spans="1:9" ht="15.75" customHeight="1" x14ac:dyDescent="0.2">
      <c r="A681" s="18" t="s">
        <v>44</v>
      </c>
      <c r="B681" s="19" t="s">
        <v>564</v>
      </c>
      <c r="C681" s="20" t="s">
        <v>625</v>
      </c>
      <c r="D681" s="21" t="s">
        <v>77</v>
      </c>
      <c r="E681" s="104"/>
      <c r="F681" s="18">
        <v>351212</v>
      </c>
      <c r="G681" s="19" t="s">
        <v>779</v>
      </c>
      <c r="H681" s="18">
        <v>1</v>
      </c>
      <c r="I681" s="18" t="s">
        <v>146</v>
      </c>
    </row>
    <row r="682" spans="1:9" ht="15.75" customHeight="1" x14ac:dyDescent="0.2">
      <c r="A682" s="18" t="s">
        <v>44</v>
      </c>
      <c r="B682" s="19" t="s">
        <v>564</v>
      </c>
      <c r="C682" s="20" t="s">
        <v>625</v>
      </c>
      <c r="D682" s="21" t="s">
        <v>77</v>
      </c>
      <c r="E682" s="104"/>
      <c r="F682" s="18">
        <v>351213</v>
      </c>
      <c r="G682" s="19" t="s">
        <v>780</v>
      </c>
      <c r="H682" s="18">
        <v>1</v>
      </c>
      <c r="I682" s="18" t="s">
        <v>146</v>
      </c>
    </row>
    <row r="683" spans="1:9" ht="15.75" customHeight="1" x14ac:dyDescent="0.2">
      <c r="A683" s="18" t="s">
        <v>44</v>
      </c>
      <c r="B683" s="19" t="s">
        <v>564</v>
      </c>
      <c r="C683" s="20" t="s">
        <v>625</v>
      </c>
      <c r="D683" s="21" t="s">
        <v>77</v>
      </c>
      <c r="E683" s="104"/>
      <c r="F683" s="18">
        <v>351214</v>
      </c>
      <c r="G683" s="19" t="s">
        <v>781</v>
      </c>
      <c r="H683" s="18">
        <v>1</v>
      </c>
      <c r="I683" s="18" t="s">
        <v>146</v>
      </c>
    </row>
    <row r="684" spans="1:9" ht="15.75" customHeight="1" x14ac:dyDescent="0.2">
      <c r="A684" s="18" t="s">
        <v>44</v>
      </c>
      <c r="B684" s="19" t="s">
        <v>564</v>
      </c>
      <c r="C684" s="20" t="s">
        <v>625</v>
      </c>
      <c r="D684" s="21" t="s">
        <v>77</v>
      </c>
      <c r="E684" s="104"/>
      <c r="F684" s="18">
        <v>351215</v>
      </c>
      <c r="G684" s="19" t="s">
        <v>782</v>
      </c>
      <c r="H684" s="18">
        <v>1</v>
      </c>
      <c r="I684" s="18" t="s">
        <v>146</v>
      </c>
    </row>
    <row r="685" spans="1:9" ht="15.75" customHeight="1" x14ac:dyDescent="0.2">
      <c r="A685" s="18" t="s">
        <v>44</v>
      </c>
      <c r="B685" s="19" t="s">
        <v>564</v>
      </c>
      <c r="C685" s="20" t="s">
        <v>625</v>
      </c>
      <c r="D685" s="21" t="s">
        <v>77</v>
      </c>
      <c r="E685" s="104"/>
      <c r="F685" s="18">
        <v>351216</v>
      </c>
      <c r="G685" s="19" t="s">
        <v>783</v>
      </c>
      <c r="H685" s="18">
        <v>1</v>
      </c>
      <c r="I685" s="18" t="s">
        <v>146</v>
      </c>
    </row>
    <row r="686" spans="1:9" ht="15.75" customHeight="1" x14ac:dyDescent="0.2">
      <c r="A686" s="18" t="s">
        <v>44</v>
      </c>
      <c r="B686" s="19" t="s">
        <v>564</v>
      </c>
      <c r="C686" s="20" t="s">
        <v>625</v>
      </c>
      <c r="D686" s="21" t="s">
        <v>77</v>
      </c>
      <c r="E686" s="104"/>
      <c r="F686" s="18">
        <v>351217</v>
      </c>
      <c r="G686" s="19" t="s">
        <v>784</v>
      </c>
      <c r="H686" s="18">
        <v>1</v>
      </c>
      <c r="I686" s="18" t="s">
        <v>146</v>
      </c>
    </row>
    <row r="687" spans="1:9" ht="15.75" customHeight="1" x14ac:dyDescent="0.2">
      <c r="A687" s="18" t="s">
        <v>44</v>
      </c>
      <c r="B687" s="19" t="s">
        <v>564</v>
      </c>
      <c r="C687" s="20" t="s">
        <v>625</v>
      </c>
      <c r="D687" s="21" t="s">
        <v>77</v>
      </c>
      <c r="E687" s="105"/>
      <c r="F687" s="18">
        <v>351218</v>
      </c>
      <c r="G687" s="19" t="s">
        <v>785</v>
      </c>
      <c r="H687" s="18">
        <v>1</v>
      </c>
      <c r="I687" s="18" t="s">
        <v>146</v>
      </c>
    </row>
    <row r="688" spans="1:9" ht="15.75" customHeight="1" x14ac:dyDescent="0.2">
      <c r="A688" s="18" t="s">
        <v>44</v>
      </c>
      <c r="B688" s="19" t="s">
        <v>564</v>
      </c>
      <c r="C688" s="20" t="s">
        <v>625</v>
      </c>
      <c r="D688" s="21" t="s">
        <v>77</v>
      </c>
      <c r="E688" s="103" t="e" vm="111">
        <v>#VALUE!</v>
      </c>
      <c r="F688" s="18">
        <v>351103</v>
      </c>
      <c r="G688" s="19" t="s">
        <v>786</v>
      </c>
      <c r="H688" s="18">
        <v>30</v>
      </c>
      <c r="I688" s="18" t="s">
        <v>48</v>
      </c>
    </row>
    <row r="689" spans="1:9" ht="15.75" customHeight="1" x14ac:dyDescent="0.2">
      <c r="A689" s="18" t="s">
        <v>44</v>
      </c>
      <c r="B689" s="19" t="s">
        <v>564</v>
      </c>
      <c r="C689" s="20" t="s">
        <v>625</v>
      </c>
      <c r="D689" s="21" t="s">
        <v>77</v>
      </c>
      <c r="E689" s="104"/>
      <c r="F689" s="18">
        <v>351104</v>
      </c>
      <c r="G689" s="19" t="s">
        <v>787</v>
      </c>
      <c r="H689" s="18">
        <v>30</v>
      </c>
      <c r="I689" s="18" t="s">
        <v>48</v>
      </c>
    </row>
    <row r="690" spans="1:9" ht="15.75" customHeight="1" x14ac:dyDescent="0.2">
      <c r="A690" s="18" t="s">
        <v>44</v>
      </c>
      <c r="B690" s="19" t="s">
        <v>564</v>
      </c>
      <c r="C690" s="20" t="s">
        <v>625</v>
      </c>
      <c r="D690" s="21" t="s">
        <v>77</v>
      </c>
      <c r="E690" s="104"/>
      <c r="F690" s="18">
        <v>351105</v>
      </c>
      <c r="G690" s="19" t="s">
        <v>788</v>
      </c>
      <c r="H690" s="18">
        <v>17</v>
      </c>
      <c r="I690" s="18" t="s">
        <v>48</v>
      </c>
    </row>
    <row r="691" spans="1:9" ht="15.75" customHeight="1" x14ac:dyDescent="0.2">
      <c r="A691" s="18" t="s">
        <v>44</v>
      </c>
      <c r="B691" s="19" t="s">
        <v>564</v>
      </c>
      <c r="C691" s="20" t="s">
        <v>625</v>
      </c>
      <c r="D691" s="21" t="s">
        <v>77</v>
      </c>
      <c r="E691" s="104"/>
      <c r="F691" s="18">
        <v>351106</v>
      </c>
      <c r="G691" s="19" t="s">
        <v>789</v>
      </c>
      <c r="H691" s="18">
        <v>10</v>
      </c>
      <c r="I691" s="18" t="s">
        <v>48</v>
      </c>
    </row>
    <row r="692" spans="1:9" ht="15.75" customHeight="1" x14ac:dyDescent="0.2">
      <c r="A692" s="18" t="s">
        <v>44</v>
      </c>
      <c r="B692" s="19" t="s">
        <v>564</v>
      </c>
      <c r="C692" s="20" t="s">
        <v>625</v>
      </c>
      <c r="D692" s="21" t="s">
        <v>77</v>
      </c>
      <c r="E692" s="105"/>
      <c r="F692" s="18">
        <v>351118</v>
      </c>
      <c r="G692" s="19" t="s">
        <v>790</v>
      </c>
      <c r="H692" s="18">
        <v>10</v>
      </c>
      <c r="I692" s="18" t="s">
        <v>48</v>
      </c>
    </row>
    <row r="693" spans="1:9" ht="19.5" customHeight="1" x14ac:dyDescent="0.2">
      <c r="A693" s="18" t="s">
        <v>44</v>
      </c>
      <c r="B693" s="19" t="s">
        <v>564</v>
      </c>
      <c r="C693" s="20" t="s">
        <v>625</v>
      </c>
      <c r="D693" s="21" t="s">
        <v>77</v>
      </c>
      <c r="E693" s="103" t="e" vm="112">
        <v>#VALUE!</v>
      </c>
      <c r="F693" s="18">
        <v>351602</v>
      </c>
      <c r="G693" s="19" t="s">
        <v>791</v>
      </c>
      <c r="H693" s="18">
        <v>31</v>
      </c>
      <c r="I693" s="18" t="s">
        <v>48</v>
      </c>
    </row>
    <row r="694" spans="1:9" ht="19.5" customHeight="1" x14ac:dyDescent="0.2">
      <c r="A694" s="18" t="s">
        <v>44</v>
      </c>
      <c r="B694" s="19" t="s">
        <v>564</v>
      </c>
      <c r="C694" s="20" t="s">
        <v>625</v>
      </c>
      <c r="D694" s="21" t="s">
        <v>77</v>
      </c>
      <c r="E694" s="104"/>
      <c r="F694" s="18">
        <v>351603</v>
      </c>
      <c r="G694" s="19" t="s">
        <v>792</v>
      </c>
      <c r="H694" s="18">
        <v>20</v>
      </c>
      <c r="I694" s="18" t="s">
        <v>48</v>
      </c>
    </row>
    <row r="695" spans="1:9" ht="19.5" customHeight="1" x14ac:dyDescent="0.2">
      <c r="A695" s="18" t="s">
        <v>44</v>
      </c>
      <c r="B695" s="19" t="s">
        <v>564</v>
      </c>
      <c r="C695" s="20" t="s">
        <v>625</v>
      </c>
      <c r="D695" s="21" t="s">
        <v>77</v>
      </c>
      <c r="E695" s="105"/>
      <c r="F695" s="18">
        <v>351604</v>
      </c>
      <c r="G695" s="19" t="s">
        <v>793</v>
      </c>
      <c r="H695" s="18">
        <v>20</v>
      </c>
      <c r="I695" s="18" t="s">
        <v>48</v>
      </c>
    </row>
    <row r="696" spans="1:9" ht="18.75" customHeight="1" x14ac:dyDescent="0.2">
      <c r="A696" s="18" t="s">
        <v>44</v>
      </c>
      <c r="B696" s="19" t="s">
        <v>564</v>
      </c>
      <c r="C696" s="20" t="s">
        <v>625</v>
      </c>
      <c r="D696" s="21" t="s">
        <v>77</v>
      </c>
      <c r="E696" s="103" t="e" vm="113">
        <v>#VALUE!</v>
      </c>
      <c r="F696" s="18">
        <v>351502</v>
      </c>
      <c r="G696" s="19" t="s">
        <v>794</v>
      </c>
      <c r="H696" s="18">
        <v>25</v>
      </c>
      <c r="I696" s="18" t="s">
        <v>48</v>
      </c>
    </row>
    <row r="697" spans="1:9" ht="18.75" customHeight="1" x14ac:dyDescent="0.2">
      <c r="A697" s="18" t="s">
        <v>44</v>
      </c>
      <c r="B697" s="19" t="s">
        <v>564</v>
      </c>
      <c r="C697" s="20" t="s">
        <v>625</v>
      </c>
      <c r="D697" s="21" t="s">
        <v>77</v>
      </c>
      <c r="E697" s="104"/>
      <c r="F697" s="18">
        <v>351503</v>
      </c>
      <c r="G697" s="19" t="s">
        <v>795</v>
      </c>
      <c r="H697" s="18">
        <v>20</v>
      </c>
      <c r="I697" s="18" t="s">
        <v>48</v>
      </c>
    </row>
    <row r="698" spans="1:9" ht="18.75" customHeight="1" x14ac:dyDescent="0.2">
      <c r="A698" s="18" t="s">
        <v>44</v>
      </c>
      <c r="B698" s="19" t="s">
        <v>564</v>
      </c>
      <c r="C698" s="20" t="s">
        <v>625</v>
      </c>
      <c r="D698" s="21" t="s">
        <v>77</v>
      </c>
      <c r="E698" s="105"/>
      <c r="F698" s="18">
        <v>351504</v>
      </c>
      <c r="G698" s="19" t="s">
        <v>796</v>
      </c>
      <c r="H698" s="18">
        <v>10</v>
      </c>
      <c r="I698" s="18" t="s">
        <v>48</v>
      </c>
    </row>
    <row r="699" spans="1:9" ht="15.75" customHeight="1" x14ac:dyDescent="0.2">
      <c r="A699" s="18" t="s">
        <v>44</v>
      </c>
      <c r="B699" s="19" t="s">
        <v>564</v>
      </c>
      <c r="C699" s="20" t="s">
        <v>625</v>
      </c>
      <c r="D699" s="21" t="s">
        <v>77</v>
      </c>
      <c r="E699" s="103" t="e" vm="114">
        <v>#VALUE!</v>
      </c>
      <c r="F699" s="18">
        <v>350802</v>
      </c>
      <c r="G699" s="19" t="s">
        <v>797</v>
      </c>
      <c r="H699" s="18">
        <v>50</v>
      </c>
      <c r="I699" s="18" t="s">
        <v>48</v>
      </c>
    </row>
    <row r="700" spans="1:9" ht="15.75" customHeight="1" x14ac:dyDescent="0.2">
      <c r="A700" s="18" t="s">
        <v>44</v>
      </c>
      <c r="B700" s="19" t="s">
        <v>564</v>
      </c>
      <c r="C700" s="20" t="s">
        <v>625</v>
      </c>
      <c r="D700" s="21" t="s">
        <v>77</v>
      </c>
      <c r="E700" s="104"/>
      <c r="F700" s="18">
        <v>350803</v>
      </c>
      <c r="G700" s="19" t="s">
        <v>798</v>
      </c>
      <c r="H700" s="18">
        <v>30</v>
      </c>
      <c r="I700" s="18" t="s">
        <v>48</v>
      </c>
    </row>
    <row r="701" spans="1:9" ht="15.75" customHeight="1" x14ac:dyDescent="0.2">
      <c r="A701" s="18" t="s">
        <v>44</v>
      </c>
      <c r="B701" s="19" t="s">
        <v>564</v>
      </c>
      <c r="C701" s="20" t="s">
        <v>625</v>
      </c>
      <c r="D701" s="21" t="s">
        <v>77</v>
      </c>
      <c r="E701" s="104"/>
      <c r="F701" s="18">
        <v>350804</v>
      </c>
      <c r="G701" s="19" t="s">
        <v>799</v>
      </c>
      <c r="H701" s="18">
        <v>15</v>
      </c>
      <c r="I701" s="18" t="s">
        <v>48</v>
      </c>
    </row>
    <row r="702" spans="1:9" ht="15.75" customHeight="1" x14ac:dyDescent="0.2">
      <c r="A702" s="18" t="s">
        <v>44</v>
      </c>
      <c r="B702" s="19" t="s">
        <v>564</v>
      </c>
      <c r="C702" s="20" t="s">
        <v>625</v>
      </c>
      <c r="D702" s="21" t="s">
        <v>77</v>
      </c>
      <c r="E702" s="104"/>
      <c r="F702" s="18">
        <v>350805</v>
      </c>
      <c r="G702" s="19" t="s">
        <v>800</v>
      </c>
      <c r="H702" s="18">
        <v>15</v>
      </c>
      <c r="I702" s="18" t="s">
        <v>48</v>
      </c>
    </row>
    <row r="703" spans="1:9" ht="15.75" customHeight="1" x14ac:dyDescent="0.2">
      <c r="A703" s="18" t="s">
        <v>44</v>
      </c>
      <c r="B703" s="19" t="s">
        <v>564</v>
      </c>
      <c r="C703" s="20" t="s">
        <v>625</v>
      </c>
      <c r="D703" s="21" t="s">
        <v>77</v>
      </c>
      <c r="E703" s="104"/>
      <c r="F703" s="18">
        <v>350806</v>
      </c>
      <c r="G703" s="19" t="s">
        <v>801</v>
      </c>
      <c r="H703" s="18">
        <v>10</v>
      </c>
      <c r="I703" s="18" t="s">
        <v>48</v>
      </c>
    </row>
    <row r="704" spans="1:9" ht="15.75" customHeight="1" x14ac:dyDescent="0.2">
      <c r="A704" s="18" t="s">
        <v>44</v>
      </c>
      <c r="B704" s="19" t="s">
        <v>564</v>
      </c>
      <c r="C704" s="20" t="s">
        <v>625</v>
      </c>
      <c r="D704" s="21" t="s">
        <v>77</v>
      </c>
      <c r="E704" s="105"/>
      <c r="F704" s="18">
        <v>350807</v>
      </c>
      <c r="G704" s="19" t="s">
        <v>802</v>
      </c>
      <c r="H704" s="18">
        <v>10</v>
      </c>
      <c r="I704" s="18" t="s">
        <v>48</v>
      </c>
    </row>
    <row r="705" spans="1:9" ht="15.75" customHeight="1" x14ac:dyDescent="0.2">
      <c r="A705" s="18" t="s">
        <v>44</v>
      </c>
      <c r="B705" s="19" t="s">
        <v>564</v>
      </c>
      <c r="C705" s="20" t="s">
        <v>625</v>
      </c>
      <c r="D705" s="21" t="s">
        <v>77</v>
      </c>
      <c r="E705" s="103" t="e" vm="115">
        <v>#VALUE!</v>
      </c>
      <c r="F705" s="18">
        <v>351402</v>
      </c>
      <c r="G705" s="19" t="s">
        <v>803</v>
      </c>
      <c r="H705" s="18">
        <v>30</v>
      </c>
      <c r="I705" s="18" t="s">
        <v>48</v>
      </c>
    </row>
    <row r="706" spans="1:9" ht="15.75" customHeight="1" x14ac:dyDescent="0.2">
      <c r="A706" s="18" t="s">
        <v>44</v>
      </c>
      <c r="B706" s="19" t="s">
        <v>564</v>
      </c>
      <c r="C706" s="20" t="s">
        <v>625</v>
      </c>
      <c r="D706" s="21" t="s">
        <v>77</v>
      </c>
      <c r="E706" s="104"/>
      <c r="F706" s="18">
        <v>351403</v>
      </c>
      <c r="G706" s="19" t="s">
        <v>804</v>
      </c>
      <c r="H706" s="18">
        <v>40</v>
      </c>
      <c r="I706" s="18" t="s">
        <v>48</v>
      </c>
    </row>
    <row r="707" spans="1:9" ht="15.75" customHeight="1" x14ac:dyDescent="0.2">
      <c r="A707" s="18" t="s">
        <v>44</v>
      </c>
      <c r="B707" s="19" t="s">
        <v>564</v>
      </c>
      <c r="C707" s="20" t="s">
        <v>625</v>
      </c>
      <c r="D707" s="21" t="s">
        <v>77</v>
      </c>
      <c r="E707" s="105"/>
      <c r="F707" s="18">
        <v>351404</v>
      </c>
      <c r="G707" s="19" t="s">
        <v>805</v>
      </c>
      <c r="H707" s="18">
        <v>50</v>
      </c>
      <c r="I707" s="18" t="s">
        <v>48</v>
      </c>
    </row>
    <row r="708" spans="1:9" ht="17.25" customHeight="1" x14ac:dyDescent="0.2">
      <c r="A708" s="18" t="s">
        <v>44</v>
      </c>
      <c r="B708" s="19" t="s">
        <v>564</v>
      </c>
      <c r="C708" s="20" t="s">
        <v>625</v>
      </c>
      <c r="D708" s="21" t="s">
        <v>77</v>
      </c>
      <c r="E708" s="103" t="e" vm="116">
        <v>#VALUE!</v>
      </c>
      <c r="F708" s="18">
        <v>351411</v>
      </c>
      <c r="G708" s="19" t="s">
        <v>806</v>
      </c>
      <c r="H708" s="18">
        <v>34</v>
      </c>
      <c r="I708" s="18" t="s">
        <v>48</v>
      </c>
    </row>
    <row r="709" spans="1:9" ht="17.25" customHeight="1" x14ac:dyDescent="0.2">
      <c r="A709" s="18" t="s">
        <v>44</v>
      </c>
      <c r="B709" s="19" t="s">
        <v>564</v>
      </c>
      <c r="C709" s="20" t="s">
        <v>625</v>
      </c>
      <c r="D709" s="21" t="s">
        <v>77</v>
      </c>
      <c r="E709" s="104"/>
      <c r="F709" s="18">
        <v>351412</v>
      </c>
      <c r="G709" s="19" t="s">
        <v>807</v>
      </c>
      <c r="H709" s="18">
        <v>25</v>
      </c>
      <c r="I709" s="18" t="s">
        <v>48</v>
      </c>
    </row>
    <row r="710" spans="1:9" ht="17.25" customHeight="1" x14ac:dyDescent="0.2">
      <c r="A710" s="18" t="s">
        <v>44</v>
      </c>
      <c r="B710" s="19" t="s">
        <v>564</v>
      </c>
      <c r="C710" s="20" t="s">
        <v>625</v>
      </c>
      <c r="D710" s="21" t="s">
        <v>77</v>
      </c>
      <c r="E710" s="105"/>
      <c r="F710" s="18">
        <v>351413</v>
      </c>
      <c r="G710" s="19" t="s">
        <v>808</v>
      </c>
      <c r="H710" s="18">
        <v>15</v>
      </c>
      <c r="I710" s="18" t="s">
        <v>48</v>
      </c>
    </row>
    <row r="711" spans="1:9" ht="54" customHeight="1" x14ac:dyDescent="0.2">
      <c r="A711" s="18" t="s">
        <v>44</v>
      </c>
      <c r="B711" s="20" t="s">
        <v>809</v>
      </c>
      <c r="C711" s="20" t="s">
        <v>810</v>
      </c>
      <c r="D711" s="21" t="s">
        <v>811</v>
      </c>
      <c r="E711" s="76" t="e" vm="117">
        <v>#VALUE!</v>
      </c>
      <c r="F711" s="18">
        <v>344101</v>
      </c>
      <c r="G711" s="19" t="s">
        <v>812</v>
      </c>
      <c r="H711" s="18">
        <v>10</v>
      </c>
      <c r="I711" s="18" t="s">
        <v>146</v>
      </c>
    </row>
    <row r="712" spans="1:9" ht="54" customHeight="1" x14ac:dyDescent="0.2">
      <c r="A712" s="18" t="s">
        <v>44</v>
      </c>
      <c r="B712" s="20" t="s">
        <v>809</v>
      </c>
      <c r="C712" s="20" t="s">
        <v>810</v>
      </c>
      <c r="D712" s="21" t="s">
        <v>813</v>
      </c>
      <c r="E712" s="37" t="e" vm="118">
        <v>#VALUE!</v>
      </c>
      <c r="F712" s="18">
        <v>344102</v>
      </c>
      <c r="G712" s="19" t="s">
        <v>814</v>
      </c>
      <c r="H712" s="18">
        <v>10</v>
      </c>
      <c r="I712" s="18" t="s">
        <v>146</v>
      </c>
    </row>
    <row r="713" spans="1:9" ht="55.5" customHeight="1" x14ac:dyDescent="0.2">
      <c r="A713" s="18" t="s">
        <v>44</v>
      </c>
      <c r="B713" s="20" t="s">
        <v>809</v>
      </c>
      <c r="C713" s="20" t="s">
        <v>810</v>
      </c>
      <c r="D713" s="21" t="s">
        <v>811</v>
      </c>
      <c r="E713" s="76" t="e" vm="119">
        <v>#VALUE!</v>
      </c>
      <c r="F713" s="18">
        <v>344103</v>
      </c>
      <c r="G713" s="19" t="s">
        <v>815</v>
      </c>
      <c r="H713" s="18">
        <v>6</v>
      </c>
      <c r="I713" s="18" t="s">
        <v>146</v>
      </c>
    </row>
    <row r="714" spans="1:9" ht="63" customHeight="1" x14ac:dyDescent="0.2">
      <c r="A714" s="18" t="s">
        <v>44</v>
      </c>
      <c r="B714" s="20" t="s">
        <v>809</v>
      </c>
      <c r="C714" s="20" t="s">
        <v>810</v>
      </c>
      <c r="D714" s="21" t="s">
        <v>813</v>
      </c>
      <c r="E714" s="23" t="e" vm="120">
        <v>#VALUE!</v>
      </c>
      <c r="F714" s="18">
        <v>344104</v>
      </c>
      <c r="G714" s="19" t="s">
        <v>816</v>
      </c>
      <c r="H714" s="18">
        <v>6</v>
      </c>
      <c r="I714" s="18" t="s">
        <v>146</v>
      </c>
    </row>
    <row r="715" spans="1:9" ht="47.25" customHeight="1" x14ac:dyDescent="0.2">
      <c r="A715" s="18" t="s">
        <v>44</v>
      </c>
      <c r="B715" s="20" t="s">
        <v>809</v>
      </c>
      <c r="C715" s="20" t="s">
        <v>810</v>
      </c>
      <c r="D715" s="21" t="s">
        <v>817</v>
      </c>
      <c r="E715" s="76" t="e" vm="121">
        <v>#VALUE!</v>
      </c>
      <c r="F715" s="18">
        <v>344109</v>
      </c>
      <c r="G715" s="19" t="s">
        <v>818</v>
      </c>
      <c r="H715" s="18">
        <v>8</v>
      </c>
      <c r="I715" s="18" t="s">
        <v>48</v>
      </c>
    </row>
    <row r="716" spans="1:9" ht="47.25" customHeight="1" x14ac:dyDescent="0.2">
      <c r="A716" s="18" t="s">
        <v>44</v>
      </c>
      <c r="B716" s="20" t="s">
        <v>809</v>
      </c>
      <c r="C716" s="20" t="s">
        <v>810</v>
      </c>
      <c r="D716" s="21" t="s">
        <v>817</v>
      </c>
      <c r="E716" s="23" t="e" vm="122">
        <v>#VALUE!</v>
      </c>
      <c r="F716" s="18">
        <v>344112</v>
      </c>
      <c r="G716" s="19" t="s">
        <v>819</v>
      </c>
      <c r="H716" s="18">
        <v>10</v>
      </c>
      <c r="I716" s="18" t="s">
        <v>48</v>
      </c>
    </row>
    <row r="717" spans="1:9" ht="60" customHeight="1" x14ac:dyDescent="0.2">
      <c r="A717" s="18" t="s">
        <v>44</v>
      </c>
      <c r="B717" s="20" t="s">
        <v>809</v>
      </c>
      <c r="C717" s="20" t="s">
        <v>810</v>
      </c>
      <c r="D717" s="21" t="s">
        <v>820</v>
      </c>
      <c r="E717" s="73" t="e" vm="123">
        <v>#VALUE!</v>
      </c>
      <c r="F717" s="18">
        <v>344117</v>
      </c>
      <c r="G717" s="19" t="s">
        <v>821</v>
      </c>
      <c r="H717" s="18">
        <v>10</v>
      </c>
      <c r="I717" s="18" t="s">
        <v>48</v>
      </c>
    </row>
    <row r="718" spans="1:9" ht="33" customHeight="1" x14ac:dyDescent="0.2">
      <c r="A718" s="18" t="s">
        <v>44</v>
      </c>
      <c r="B718" s="20" t="s">
        <v>809</v>
      </c>
      <c r="C718" s="20" t="s">
        <v>810</v>
      </c>
      <c r="D718" s="21" t="s">
        <v>822</v>
      </c>
      <c r="E718" s="103" t="e" vm="124">
        <v>#VALUE!</v>
      </c>
      <c r="F718" s="18">
        <v>344901</v>
      </c>
      <c r="G718" s="19" t="s">
        <v>823</v>
      </c>
      <c r="H718" s="18">
        <v>10</v>
      </c>
      <c r="I718" s="18" t="s">
        <v>48</v>
      </c>
    </row>
    <row r="719" spans="1:9" ht="33" customHeight="1" x14ac:dyDescent="0.2">
      <c r="A719" s="18" t="s">
        <v>44</v>
      </c>
      <c r="B719" s="20" t="s">
        <v>809</v>
      </c>
      <c r="C719" s="20" t="s">
        <v>810</v>
      </c>
      <c r="D719" s="21" t="s">
        <v>824</v>
      </c>
      <c r="E719" s="105"/>
      <c r="F719" s="18">
        <v>344900</v>
      </c>
      <c r="G719" s="19" t="s">
        <v>825</v>
      </c>
      <c r="H719" s="18">
        <v>10</v>
      </c>
      <c r="I719" s="18" t="s">
        <v>48</v>
      </c>
    </row>
    <row r="720" spans="1:9" ht="43.5" customHeight="1" x14ac:dyDescent="0.2">
      <c r="A720" s="18" t="s">
        <v>44</v>
      </c>
      <c r="B720" s="20" t="s">
        <v>809</v>
      </c>
      <c r="C720" s="20" t="s">
        <v>810</v>
      </c>
      <c r="D720" s="21" t="s">
        <v>826</v>
      </c>
      <c r="E720" s="78" t="e" vm="125">
        <v>#VALUE!</v>
      </c>
      <c r="F720" s="18">
        <v>344113</v>
      </c>
      <c r="G720" s="19" t="s">
        <v>827</v>
      </c>
      <c r="H720" s="18">
        <v>5</v>
      </c>
      <c r="I720" s="18" t="s">
        <v>48</v>
      </c>
    </row>
    <row r="721" spans="1:9" ht="43.5" customHeight="1" x14ac:dyDescent="0.2">
      <c r="A721" s="18" t="s">
        <v>44</v>
      </c>
      <c r="B721" s="20" t="s">
        <v>809</v>
      </c>
      <c r="C721" s="20" t="s">
        <v>810</v>
      </c>
      <c r="D721" s="21" t="s">
        <v>828</v>
      </c>
      <c r="E721" s="23" t="e" vm="126">
        <v>#VALUE!</v>
      </c>
      <c r="F721" s="18">
        <v>344114</v>
      </c>
      <c r="G721" s="19" t="s">
        <v>829</v>
      </c>
      <c r="H721" s="18">
        <v>5</v>
      </c>
      <c r="I721" s="18" t="s">
        <v>48</v>
      </c>
    </row>
    <row r="722" spans="1:9" ht="42.75" customHeight="1" x14ac:dyDescent="0.2">
      <c r="A722" s="18" t="s">
        <v>44</v>
      </c>
      <c r="B722" s="20" t="s">
        <v>809</v>
      </c>
      <c r="C722" s="20" t="s">
        <v>810</v>
      </c>
      <c r="D722" s="21" t="s">
        <v>826</v>
      </c>
      <c r="E722" s="76" t="e" vm="127">
        <v>#VALUE!</v>
      </c>
      <c r="F722" s="18">
        <v>344115</v>
      </c>
      <c r="G722" s="19" t="s">
        <v>830</v>
      </c>
      <c r="H722" s="18">
        <v>5</v>
      </c>
      <c r="I722" s="18" t="s">
        <v>48</v>
      </c>
    </row>
    <row r="723" spans="1:9" ht="43.5" customHeight="1" x14ac:dyDescent="0.2">
      <c r="A723" s="18" t="s">
        <v>44</v>
      </c>
      <c r="B723" s="20" t="s">
        <v>809</v>
      </c>
      <c r="C723" s="20" t="s">
        <v>810</v>
      </c>
      <c r="D723" s="21" t="s">
        <v>831</v>
      </c>
      <c r="E723" s="76" t="e" vm="128">
        <v>#VALUE!</v>
      </c>
      <c r="F723" s="18">
        <v>344105</v>
      </c>
      <c r="G723" s="19" t="s">
        <v>832</v>
      </c>
      <c r="H723" s="18">
        <v>10</v>
      </c>
      <c r="I723" s="18" t="s">
        <v>48</v>
      </c>
    </row>
    <row r="724" spans="1:9" ht="43.5" customHeight="1" x14ac:dyDescent="0.2">
      <c r="A724" s="18" t="s">
        <v>44</v>
      </c>
      <c r="B724" s="20" t="s">
        <v>809</v>
      </c>
      <c r="C724" s="20" t="s">
        <v>810</v>
      </c>
      <c r="D724" s="21" t="s">
        <v>831</v>
      </c>
      <c r="E724" s="23" t="e" vm="129">
        <v>#VALUE!</v>
      </c>
      <c r="F724" s="18">
        <v>344106</v>
      </c>
      <c r="G724" s="19" t="s">
        <v>833</v>
      </c>
      <c r="H724" s="18">
        <v>10</v>
      </c>
      <c r="I724" s="18" t="s">
        <v>48</v>
      </c>
    </row>
    <row r="725" spans="1:9" ht="43.5" customHeight="1" x14ac:dyDescent="0.2">
      <c r="A725" s="18" t="s">
        <v>44</v>
      </c>
      <c r="B725" s="20" t="s">
        <v>809</v>
      </c>
      <c r="C725" s="20" t="s">
        <v>810</v>
      </c>
      <c r="D725" s="21" t="s">
        <v>834</v>
      </c>
      <c r="E725" s="76" t="e" vm="130">
        <v>#VALUE!</v>
      </c>
      <c r="F725" s="18">
        <v>344107</v>
      </c>
      <c r="G725" s="19" t="s">
        <v>835</v>
      </c>
      <c r="H725" s="18">
        <v>10</v>
      </c>
      <c r="I725" s="18" t="s">
        <v>48</v>
      </c>
    </row>
    <row r="726" spans="1:9" ht="43.5" customHeight="1" x14ac:dyDescent="0.2">
      <c r="A726" s="18" t="s">
        <v>44</v>
      </c>
      <c r="B726" s="20" t="s">
        <v>809</v>
      </c>
      <c r="C726" s="20" t="s">
        <v>810</v>
      </c>
      <c r="D726" s="21" t="s">
        <v>834</v>
      </c>
      <c r="E726" s="76" t="e" vm="131">
        <v>#VALUE!</v>
      </c>
      <c r="F726" s="18">
        <v>344108</v>
      </c>
      <c r="G726" s="19" t="s">
        <v>836</v>
      </c>
      <c r="H726" s="18">
        <v>10</v>
      </c>
      <c r="I726" s="18" t="s">
        <v>48</v>
      </c>
    </row>
    <row r="727" spans="1:9" ht="42.75" customHeight="1" x14ac:dyDescent="0.2">
      <c r="A727" s="18" t="s">
        <v>44</v>
      </c>
      <c r="B727" s="20" t="s">
        <v>809</v>
      </c>
      <c r="C727" s="20" t="s">
        <v>837</v>
      </c>
      <c r="D727" s="21" t="s">
        <v>838</v>
      </c>
      <c r="E727" s="76" t="e" vm="132">
        <v>#VALUE!</v>
      </c>
      <c r="F727" s="18">
        <v>41001</v>
      </c>
      <c r="G727" s="19" t="s">
        <v>839</v>
      </c>
      <c r="H727" s="18">
        <v>6</v>
      </c>
      <c r="I727" s="18" t="s">
        <v>146</v>
      </c>
    </row>
    <row r="728" spans="1:9" ht="36" customHeight="1" x14ac:dyDescent="0.2">
      <c r="A728" s="18" t="s">
        <v>44</v>
      </c>
      <c r="B728" s="20" t="s">
        <v>809</v>
      </c>
      <c r="C728" s="20" t="s">
        <v>837</v>
      </c>
      <c r="D728" s="21" t="s">
        <v>840</v>
      </c>
      <c r="E728" s="76" t="e" vm="133">
        <v>#VALUE!</v>
      </c>
      <c r="F728" s="18">
        <v>41002</v>
      </c>
      <c r="G728" s="19" t="s">
        <v>841</v>
      </c>
      <c r="H728" s="18">
        <v>10</v>
      </c>
      <c r="I728" s="18" t="s">
        <v>146</v>
      </c>
    </row>
    <row r="729" spans="1:9" ht="37.5" customHeight="1" x14ac:dyDescent="0.2">
      <c r="A729" s="18" t="s">
        <v>44</v>
      </c>
      <c r="B729" s="20" t="s">
        <v>809</v>
      </c>
      <c r="C729" s="20" t="s">
        <v>837</v>
      </c>
      <c r="D729" s="21" t="s">
        <v>840</v>
      </c>
      <c r="E729" s="23" t="e" vm="134">
        <v>#VALUE!</v>
      </c>
      <c r="F729" s="18">
        <v>41101</v>
      </c>
      <c r="G729" s="19" t="s">
        <v>842</v>
      </c>
      <c r="H729" s="18">
        <v>1</v>
      </c>
      <c r="I729" s="18" t="s">
        <v>48</v>
      </c>
    </row>
    <row r="730" spans="1:9" ht="45" customHeight="1" x14ac:dyDescent="0.2">
      <c r="A730" s="18" t="s">
        <v>44</v>
      </c>
      <c r="B730" s="20" t="s">
        <v>809</v>
      </c>
      <c r="C730" s="20" t="s">
        <v>837</v>
      </c>
      <c r="D730" s="21" t="s">
        <v>840</v>
      </c>
      <c r="E730" s="73" t="e" vm="135">
        <v>#VALUE!</v>
      </c>
      <c r="F730" s="18">
        <v>41003</v>
      </c>
      <c r="G730" s="19" t="s">
        <v>843</v>
      </c>
      <c r="H730" s="18">
        <v>10</v>
      </c>
      <c r="I730" s="18" t="s">
        <v>844</v>
      </c>
    </row>
    <row r="731" spans="1:9" ht="40.5" customHeight="1" x14ac:dyDescent="0.2">
      <c r="A731" s="18" t="s">
        <v>44</v>
      </c>
      <c r="B731" s="20" t="s">
        <v>809</v>
      </c>
      <c r="C731" s="20" t="s">
        <v>837</v>
      </c>
      <c r="D731" s="21" t="s">
        <v>840</v>
      </c>
      <c r="E731" s="76" t="e" vm="136">
        <v>#VALUE!</v>
      </c>
      <c r="F731" s="18">
        <v>341100</v>
      </c>
      <c r="G731" s="19" t="s">
        <v>845</v>
      </c>
      <c r="H731" s="18">
        <v>10</v>
      </c>
      <c r="I731" s="18" t="s">
        <v>844</v>
      </c>
    </row>
    <row r="732" spans="1:9" ht="40.5" customHeight="1" x14ac:dyDescent="0.2">
      <c r="A732" s="18" t="s">
        <v>44</v>
      </c>
      <c r="B732" s="20" t="s">
        <v>809</v>
      </c>
      <c r="C732" s="20" t="s">
        <v>837</v>
      </c>
      <c r="D732" s="21" t="s">
        <v>846</v>
      </c>
      <c r="E732" s="75" t="e" vm="137">
        <v>#VALUE!</v>
      </c>
      <c r="F732" s="33">
        <v>41103</v>
      </c>
      <c r="G732" s="19" t="s">
        <v>847</v>
      </c>
      <c r="H732" s="18">
        <v>1</v>
      </c>
      <c r="I732" s="18" t="s">
        <v>48</v>
      </c>
    </row>
    <row r="733" spans="1:9" ht="40.5" customHeight="1" x14ac:dyDescent="0.2">
      <c r="A733" s="18" t="s">
        <v>44</v>
      </c>
      <c r="B733" s="20" t="s">
        <v>809</v>
      </c>
      <c r="C733" s="20" t="s">
        <v>837</v>
      </c>
      <c r="D733" s="21" t="s">
        <v>848</v>
      </c>
      <c r="E733" s="76" t="e" vm="138">
        <v>#VALUE!</v>
      </c>
      <c r="F733" s="18">
        <v>344118</v>
      </c>
      <c r="G733" s="19" t="s">
        <v>849</v>
      </c>
      <c r="H733" s="18">
        <v>4</v>
      </c>
      <c r="I733" s="18" t="s">
        <v>146</v>
      </c>
    </row>
    <row r="734" spans="1:9" ht="40.5" customHeight="1" x14ac:dyDescent="0.2">
      <c r="A734" s="18" t="s">
        <v>44</v>
      </c>
      <c r="B734" s="20" t="s">
        <v>809</v>
      </c>
      <c r="C734" s="20" t="s">
        <v>837</v>
      </c>
      <c r="D734" s="21" t="s">
        <v>848</v>
      </c>
      <c r="E734" s="23" t="e" vm="139">
        <v>#VALUE!</v>
      </c>
      <c r="F734" s="18">
        <v>344119</v>
      </c>
      <c r="G734" s="19" t="s">
        <v>850</v>
      </c>
      <c r="H734" s="18">
        <v>4</v>
      </c>
      <c r="I734" s="18" t="s">
        <v>146</v>
      </c>
    </row>
    <row r="735" spans="1:9" ht="52.5" customHeight="1" x14ac:dyDescent="0.2">
      <c r="A735" s="18" t="s">
        <v>44</v>
      </c>
      <c r="B735" s="20" t="s">
        <v>809</v>
      </c>
      <c r="C735" s="20" t="s">
        <v>851</v>
      </c>
      <c r="D735" s="21" t="s">
        <v>840</v>
      </c>
      <c r="E735" s="76" t="e" vm="140">
        <v>#VALUE!</v>
      </c>
      <c r="F735" s="18">
        <v>344201</v>
      </c>
      <c r="G735" s="19" t="s">
        <v>852</v>
      </c>
      <c r="H735" s="18">
        <v>8</v>
      </c>
      <c r="I735" s="18" t="s">
        <v>844</v>
      </c>
    </row>
    <row r="736" spans="1:9" ht="52.5" customHeight="1" x14ac:dyDescent="0.2">
      <c r="A736" s="18" t="s">
        <v>44</v>
      </c>
      <c r="B736" s="20" t="s">
        <v>809</v>
      </c>
      <c r="C736" s="20" t="s">
        <v>851</v>
      </c>
      <c r="D736" s="21" t="s">
        <v>840</v>
      </c>
      <c r="E736" s="23" t="e" vm="141">
        <v>#VALUE!</v>
      </c>
      <c r="F736" s="18">
        <v>344203</v>
      </c>
      <c r="G736" s="19" t="s">
        <v>853</v>
      </c>
      <c r="H736" s="18">
        <v>8</v>
      </c>
      <c r="I736" s="18" t="s">
        <v>844</v>
      </c>
    </row>
    <row r="737" spans="1:9" ht="52.5" customHeight="1" x14ac:dyDescent="0.2">
      <c r="A737" s="18" t="s">
        <v>44</v>
      </c>
      <c r="B737" s="20" t="s">
        <v>809</v>
      </c>
      <c r="C737" s="20" t="s">
        <v>851</v>
      </c>
      <c r="D737" s="21" t="s">
        <v>854</v>
      </c>
      <c r="E737" s="103" t="e" vm="142">
        <v>#VALUE!</v>
      </c>
      <c r="F737" s="18">
        <v>344204</v>
      </c>
      <c r="G737" s="19" t="s">
        <v>855</v>
      </c>
      <c r="H737" s="18">
        <v>10</v>
      </c>
      <c r="I737" s="18" t="s">
        <v>844</v>
      </c>
    </row>
    <row r="738" spans="1:9" ht="52.5" customHeight="1" x14ac:dyDescent="0.2">
      <c r="A738" s="18" t="s">
        <v>44</v>
      </c>
      <c r="B738" s="20" t="s">
        <v>809</v>
      </c>
      <c r="C738" s="20" t="s">
        <v>851</v>
      </c>
      <c r="D738" s="21" t="s">
        <v>854</v>
      </c>
      <c r="E738" s="105"/>
      <c r="F738" s="18">
        <v>344205</v>
      </c>
      <c r="G738" s="19" t="s">
        <v>856</v>
      </c>
      <c r="H738" s="18">
        <v>10</v>
      </c>
      <c r="I738" s="18" t="s">
        <v>844</v>
      </c>
    </row>
    <row r="739" spans="1:9" ht="52.5" customHeight="1" x14ac:dyDescent="0.2">
      <c r="A739" s="18" t="s">
        <v>44</v>
      </c>
      <c r="B739" s="20" t="s">
        <v>809</v>
      </c>
      <c r="C739" s="20" t="s">
        <v>851</v>
      </c>
      <c r="D739" s="21" t="s">
        <v>854</v>
      </c>
      <c r="E739" s="23" t="e" vm="143">
        <v>#VALUE!</v>
      </c>
      <c r="F739" s="18">
        <v>344206</v>
      </c>
      <c r="G739" s="19" t="s">
        <v>857</v>
      </c>
      <c r="H739" s="18">
        <v>10</v>
      </c>
      <c r="I739" s="18" t="s">
        <v>844</v>
      </c>
    </row>
    <row r="740" spans="1:9" ht="52.5" customHeight="1" x14ac:dyDescent="0.2">
      <c r="A740" s="18" t="s">
        <v>44</v>
      </c>
      <c r="B740" s="20" t="s">
        <v>809</v>
      </c>
      <c r="C740" s="20" t="s">
        <v>858</v>
      </c>
      <c r="D740" s="21" t="s">
        <v>859</v>
      </c>
      <c r="E740" s="36" t="e" vm="144">
        <v>#VALUE!</v>
      </c>
      <c r="F740" s="18">
        <v>44401</v>
      </c>
      <c r="G740" s="19" t="s">
        <v>860</v>
      </c>
      <c r="H740" s="18">
        <v>1</v>
      </c>
      <c r="I740" s="18" t="s">
        <v>363</v>
      </c>
    </row>
    <row r="741" spans="1:9" ht="52.5" customHeight="1" x14ac:dyDescent="0.2">
      <c r="A741" s="18" t="s">
        <v>44</v>
      </c>
      <c r="B741" s="20" t="s">
        <v>809</v>
      </c>
      <c r="C741" s="20" t="s">
        <v>858</v>
      </c>
      <c r="D741" s="21" t="s">
        <v>861</v>
      </c>
      <c r="E741" s="36" t="e" vm="145">
        <v>#VALUE!</v>
      </c>
      <c r="F741" s="18">
        <v>44402</v>
      </c>
      <c r="G741" s="19" t="s">
        <v>862</v>
      </c>
      <c r="H741" s="18">
        <v>1</v>
      </c>
      <c r="I741" s="18" t="s">
        <v>363</v>
      </c>
    </row>
    <row r="742" spans="1:9" ht="52.5" customHeight="1" x14ac:dyDescent="0.2">
      <c r="A742" s="18" t="s">
        <v>44</v>
      </c>
      <c r="B742" s="20" t="s">
        <v>809</v>
      </c>
      <c r="C742" s="20" t="s">
        <v>858</v>
      </c>
      <c r="D742" s="21" t="s">
        <v>861</v>
      </c>
      <c r="E742" s="36" t="e" vm="146">
        <v>#VALUE!</v>
      </c>
      <c r="F742" s="18">
        <v>44403</v>
      </c>
      <c r="G742" s="19" t="s">
        <v>863</v>
      </c>
      <c r="H742" s="18">
        <v>1</v>
      </c>
      <c r="I742" s="18" t="s">
        <v>363</v>
      </c>
    </row>
    <row r="743" spans="1:9" ht="52.5" customHeight="1" x14ac:dyDescent="0.2">
      <c r="A743" s="18" t="s">
        <v>44</v>
      </c>
      <c r="B743" s="20" t="s">
        <v>809</v>
      </c>
      <c r="C743" s="20" t="s">
        <v>858</v>
      </c>
      <c r="D743" s="21" t="s">
        <v>859</v>
      </c>
      <c r="E743" s="36" t="e" vm="147">
        <v>#VALUE!</v>
      </c>
      <c r="F743" s="18">
        <v>44404</v>
      </c>
      <c r="G743" s="19" t="s">
        <v>864</v>
      </c>
      <c r="H743" s="18">
        <v>1</v>
      </c>
      <c r="I743" s="18" t="s">
        <v>363</v>
      </c>
    </row>
    <row r="744" spans="1:9" ht="40.5" customHeight="1" x14ac:dyDescent="0.2">
      <c r="A744" s="18" t="s">
        <v>44</v>
      </c>
      <c r="B744" s="20" t="s">
        <v>809</v>
      </c>
      <c r="C744" s="20" t="s">
        <v>858</v>
      </c>
      <c r="D744" s="21" t="s">
        <v>865</v>
      </c>
      <c r="E744" s="123" t="e" vm="148">
        <v>#VALUE!</v>
      </c>
      <c r="F744" s="18">
        <v>44407</v>
      </c>
      <c r="G744" s="19" t="s">
        <v>866</v>
      </c>
      <c r="H744" s="18">
        <v>1</v>
      </c>
      <c r="I744" s="18" t="s">
        <v>146</v>
      </c>
    </row>
    <row r="745" spans="1:9" ht="40.5" customHeight="1" x14ac:dyDescent="0.2">
      <c r="A745" s="18" t="s">
        <v>44</v>
      </c>
      <c r="B745" s="20" t="s">
        <v>809</v>
      </c>
      <c r="C745" s="20" t="s">
        <v>858</v>
      </c>
      <c r="D745" s="21" t="s">
        <v>865</v>
      </c>
      <c r="E745" s="123"/>
      <c r="F745" s="18">
        <v>44408</v>
      </c>
      <c r="G745" s="19" t="s">
        <v>867</v>
      </c>
      <c r="H745" s="18">
        <v>1</v>
      </c>
      <c r="I745" s="18" t="s">
        <v>146</v>
      </c>
    </row>
    <row r="746" spans="1:9" ht="40.5" customHeight="1" x14ac:dyDescent="0.2">
      <c r="A746" s="18" t="s">
        <v>44</v>
      </c>
      <c r="B746" s="20" t="s">
        <v>809</v>
      </c>
      <c r="C746" s="20" t="s">
        <v>858</v>
      </c>
      <c r="D746" s="21" t="s">
        <v>865</v>
      </c>
      <c r="E746" s="123"/>
      <c r="F746" s="18">
        <v>44409</v>
      </c>
      <c r="G746" s="19" t="s">
        <v>868</v>
      </c>
      <c r="H746" s="18">
        <v>1</v>
      </c>
      <c r="I746" s="18" t="s">
        <v>146</v>
      </c>
    </row>
    <row r="747" spans="1:9" ht="21" customHeight="1" x14ac:dyDescent="0.2">
      <c r="A747" s="18" t="s">
        <v>44</v>
      </c>
      <c r="B747" s="20" t="s">
        <v>809</v>
      </c>
      <c r="C747" s="20" t="s">
        <v>869</v>
      </c>
      <c r="D747" s="21" t="s">
        <v>870</v>
      </c>
      <c r="E747" s="110" t="e" vm="149">
        <v>#VALUE!</v>
      </c>
      <c r="F747" s="18">
        <v>40001</v>
      </c>
      <c r="G747" s="19" t="s">
        <v>871</v>
      </c>
      <c r="H747" s="18">
        <v>10</v>
      </c>
      <c r="I747" s="18" t="s">
        <v>48</v>
      </c>
    </row>
    <row r="748" spans="1:9" ht="21" customHeight="1" x14ac:dyDescent="0.2">
      <c r="A748" s="18" t="s">
        <v>44</v>
      </c>
      <c r="B748" s="20" t="s">
        <v>809</v>
      </c>
      <c r="C748" s="20" t="s">
        <v>869</v>
      </c>
      <c r="D748" s="21" t="s">
        <v>870</v>
      </c>
      <c r="E748" s="110"/>
      <c r="F748" s="18">
        <v>40002</v>
      </c>
      <c r="G748" s="19" t="s">
        <v>872</v>
      </c>
      <c r="H748" s="18">
        <v>10</v>
      </c>
      <c r="I748" s="18" t="s">
        <v>48</v>
      </c>
    </row>
    <row r="749" spans="1:9" ht="21" customHeight="1" x14ac:dyDescent="0.2">
      <c r="A749" s="18" t="s">
        <v>44</v>
      </c>
      <c r="B749" s="20" t="s">
        <v>809</v>
      </c>
      <c r="C749" s="20" t="s">
        <v>869</v>
      </c>
      <c r="D749" s="21" t="s">
        <v>870</v>
      </c>
      <c r="E749" s="110"/>
      <c r="F749" s="18">
        <v>40003</v>
      </c>
      <c r="G749" s="19" t="s">
        <v>873</v>
      </c>
      <c r="H749" s="18">
        <v>10</v>
      </c>
      <c r="I749" s="18" t="s">
        <v>48</v>
      </c>
    </row>
    <row r="750" spans="1:9" ht="21" customHeight="1" x14ac:dyDescent="0.2">
      <c r="A750" s="18" t="s">
        <v>44</v>
      </c>
      <c r="B750" s="20" t="s">
        <v>809</v>
      </c>
      <c r="C750" s="20" t="s">
        <v>869</v>
      </c>
      <c r="D750" s="21" t="s">
        <v>870</v>
      </c>
      <c r="E750" s="110"/>
      <c r="F750" s="18">
        <v>40004</v>
      </c>
      <c r="G750" s="19" t="s">
        <v>874</v>
      </c>
      <c r="H750" s="18">
        <v>10</v>
      </c>
      <c r="I750" s="18" t="s">
        <v>48</v>
      </c>
    </row>
    <row r="751" spans="1:9" ht="21" customHeight="1" x14ac:dyDescent="0.2">
      <c r="A751" s="18" t="s">
        <v>44</v>
      </c>
      <c r="B751" s="20" t="s">
        <v>809</v>
      </c>
      <c r="C751" s="20" t="s">
        <v>869</v>
      </c>
      <c r="D751" s="21" t="s">
        <v>870</v>
      </c>
      <c r="E751" s="110"/>
      <c r="F751" s="18">
        <v>40005</v>
      </c>
      <c r="G751" s="19" t="s">
        <v>875</v>
      </c>
      <c r="H751" s="18">
        <v>10</v>
      </c>
      <c r="I751" s="18" t="s">
        <v>48</v>
      </c>
    </row>
    <row r="752" spans="1:9" ht="21" customHeight="1" x14ac:dyDescent="0.2">
      <c r="A752" s="18" t="s">
        <v>44</v>
      </c>
      <c r="B752" s="20" t="s">
        <v>809</v>
      </c>
      <c r="C752" s="20" t="s">
        <v>869</v>
      </c>
      <c r="D752" s="21" t="s">
        <v>870</v>
      </c>
      <c r="E752" s="110" t="e" vm="150">
        <v>#VALUE!</v>
      </c>
      <c r="F752" s="18">
        <v>40006</v>
      </c>
      <c r="G752" s="19" t="s">
        <v>876</v>
      </c>
      <c r="H752" s="18">
        <v>10</v>
      </c>
      <c r="I752" s="18" t="s">
        <v>48</v>
      </c>
    </row>
    <row r="753" spans="1:9" ht="21" customHeight="1" x14ac:dyDescent="0.2">
      <c r="A753" s="18" t="s">
        <v>44</v>
      </c>
      <c r="B753" s="20" t="s">
        <v>809</v>
      </c>
      <c r="C753" s="20" t="s">
        <v>869</v>
      </c>
      <c r="D753" s="21" t="s">
        <v>870</v>
      </c>
      <c r="E753" s="110"/>
      <c r="F753" s="18">
        <v>40007</v>
      </c>
      <c r="G753" s="19" t="s">
        <v>877</v>
      </c>
      <c r="H753" s="18">
        <v>10</v>
      </c>
      <c r="I753" s="18" t="s">
        <v>48</v>
      </c>
    </row>
    <row r="754" spans="1:9" ht="21" customHeight="1" x14ac:dyDescent="0.2">
      <c r="A754" s="18" t="s">
        <v>44</v>
      </c>
      <c r="B754" s="20" t="s">
        <v>809</v>
      </c>
      <c r="C754" s="20" t="s">
        <v>869</v>
      </c>
      <c r="D754" s="21" t="s">
        <v>870</v>
      </c>
      <c r="E754" s="110"/>
      <c r="F754" s="18">
        <v>40008</v>
      </c>
      <c r="G754" s="19" t="s">
        <v>878</v>
      </c>
      <c r="H754" s="18">
        <v>10</v>
      </c>
      <c r="I754" s="18" t="s">
        <v>48</v>
      </c>
    </row>
    <row r="755" spans="1:9" ht="21" customHeight="1" x14ac:dyDescent="0.2">
      <c r="A755" s="18" t="s">
        <v>44</v>
      </c>
      <c r="B755" s="20" t="s">
        <v>809</v>
      </c>
      <c r="C755" s="20" t="s">
        <v>869</v>
      </c>
      <c r="D755" s="21" t="s">
        <v>870</v>
      </c>
      <c r="E755" s="110"/>
      <c r="F755" s="18">
        <v>40009</v>
      </c>
      <c r="G755" s="19" t="s">
        <v>879</v>
      </c>
      <c r="H755" s="18">
        <v>10</v>
      </c>
      <c r="I755" s="18" t="s">
        <v>48</v>
      </c>
    </row>
    <row r="756" spans="1:9" ht="21" customHeight="1" x14ac:dyDescent="0.2">
      <c r="A756" s="18" t="s">
        <v>44</v>
      </c>
      <c r="B756" s="20" t="s">
        <v>809</v>
      </c>
      <c r="C756" s="20" t="s">
        <v>869</v>
      </c>
      <c r="D756" s="21" t="s">
        <v>870</v>
      </c>
      <c r="E756" s="110"/>
      <c r="F756" s="18">
        <v>40010</v>
      </c>
      <c r="G756" s="19" t="s">
        <v>880</v>
      </c>
      <c r="H756" s="18">
        <v>10</v>
      </c>
      <c r="I756" s="18" t="s">
        <v>48</v>
      </c>
    </row>
    <row r="757" spans="1:9" ht="21" customHeight="1" x14ac:dyDescent="0.2">
      <c r="A757" s="18" t="s">
        <v>44</v>
      </c>
      <c r="B757" s="20" t="s">
        <v>809</v>
      </c>
      <c r="C757" s="20" t="s">
        <v>869</v>
      </c>
      <c r="D757" s="21" t="s">
        <v>881</v>
      </c>
      <c r="E757" s="110" t="e" vm="151">
        <v>#VALUE!</v>
      </c>
      <c r="F757" s="18">
        <v>40011</v>
      </c>
      <c r="G757" s="19" t="s">
        <v>882</v>
      </c>
      <c r="H757" s="18">
        <v>10</v>
      </c>
      <c r="I757" s="18" t="s">
        <v>48</v>
      </c>
    </row>
    <row r="758" spans="1:9" ht="21" customHeight="1" x14ac:dyDescent="0.2">
      <c r="A758" s="18" t="s">
        <v>44</v>
      </c>
      <c r="B758" s="20" t="s">
        <v>809</v>
      </c>
      <c r="C758" s="20" t="s">
        <v>869</v>
      </c>
      <c r="D758" s="21" t="s">
        <v>881</v>
      </c>
      <c r="E758" s="110"/>
      <c r="F758" s="18">
        <v>40012</v>
      </c>
      <c r="G758" s="19" t="s">
        <v>883</v>
      </c>
      <c r="H758" s="18">
        <v>10</v>
      </c>
      <c r="I758" s="18" t="s">
        <v>48</v>
      </c>
    </row>
    <row r="759" spans="1:9" ht="18.75" customHeight="1" x14ac:dyDescent="0.2">
      <c r="A759" s="18" t="s">
        <v>44</v>
      </c>
      <c r="B759" s="20" t="s">
        <v>809</v>
      </c>
      <c r="C759" s="20" t="s">
        <v>869</v>
      </c>
      <c r="D759" s="21" t="s">
        <v>881</v>
      </c>
      <c r="E759" s="110"/>
      <c r="F759" s="18">
        <v>40013</v>
      </c>
      <c r="G759" s="19" t="s">
        <v>884</v>
      </c>
      <c r="H759" s="18">
        <v>10</v>
      </c>
      <c r="I759" s="18" t="s">
        <v>48</v>
      </c>
    </row>
    <row r="760" spans="1:9" ht="18.75" customHeight="1" x14ac:dyDescent="0.2">
      <c r="A760" s="18" t="s">
        <v>44</v>
      </c>
      <c r="B760" s="20" t="s">
        <v>809</v>
      </c>
      <c r="C760" s="20" t="s">
        <v>869</v>
      </c>
      <c r="D760" s="21" t="s">
        <v>881</v>
      </c>
      <c r="E760" s="110"/>
      <c r="F760" s="18">
        <v>40014</v>
      </c>
      <c r="G760" s="19" t="s">
        <v>885</v>
      </c>
      <c r="H760" s="18">
        <v>10</v>
      </c>
      <c r="I760" s="18" t="s">
        <v>48</v>
      </c>
    </row>
    <row r="761" spans="1:9" ht="18.75" customHeight="1" x14ac:dyDescent="0.2">
      <c r="A761" s="18" t="s">
        <v>44</v>
      </c>
      <c r="B761" s="20" t="s">
        <v>809</v>
      </c>
      <c r="C761" s="20" t="s">
        <v>869</v>
      </c>
      <c r="D761" s="21" t="s">
        <v>886</v>
      </c>
      <c r="E761" s="110" t="e" vm="152">
        <v>#VALUE!</v>
      </c>
      <c r="F761" s="18">
        <v>40015</v>
      </c>
      <c r="G761" s="19" t="s">
        <v>887</v>
      </c>
      <c r="H761" s="18">
        <v>1</v>
      </c>
      <c r="I761" s="18" t="s">
        <v>146</v>
      </c>
    </row>
    <row r="762" spans="1:9" ht="18.75" customHeight="1" x14ac:dyDescent="0.2">
      <c r="A762" s="18" t="s">
        <v>44</v>
      </c>
      <c r="B762" s="20" t="s">
        <v>809</v>
      </c>
      <c r="C762" s="20" t="s">
        <v>869</v>
      </c>
      <c r="D762" s="21" t="s">
        <v>886</v>
      </c>
      <c r="E762" s="110"/>
      <c r="F762" s="18">
        <v>40016</v>
      </c>
      <c r="G762" s="19" t="s">
        <v>888</v>
      </c>
      <c r="H762" s="18">
        <v>1</v>
      </c>
      <c r="I762" s="18" t="s">
        <v>146</v>
      </c>
    </row>
    <row r="763" spans="1:9" ht="30" customHeight="1" x14ac:dyDescent="0.2">
      <c r="A763" s="18" t="s">
        <v>44</v>
      </c>
      <c r="B763" s="20" t="s">
        <v>809</v>
      </c>
      <c r="C763" s="20" t="s">
        <v>869</v>
      </c>
      <c r="D763" s="21" t="s">
        <v>886</v>
      </c>
      <c r="E763" s="36" t="e" vm="153">
        <v>#VALUE!</v>
      </c>
      <c r="F763" s="18">
        <v>40018</v>
      </c>
      <c r="G763" s="19" t="s">
        <v>889</v>
      </c>
      <c r="H763" s="18">
        <v>1</v>
      </c>
      <c r="I763" s="18" t="s">
        <v>146</v>
      </c>
    </row>
    <row r="764" spans="1:9" ht="15.75" customHeight="1" x14ac:dyDescent="0.2">
      <c r="A764" s="18" t="s">
        <v>44</v>
      </c>
      <c r="B764" s="19" t="s">
        <v>890</v>
      </c>
      <c r="C764" s="20" t="s">
        <v>891</v>
      </c>
      <c r="D764" s="21" t="s">
        <v>46</v>
      </c>
      <c r="E764" s="103" t="e" vm="154">
        <v>#VALUE!</v>
      </c>
      <c r="F764" s="18">
        <v>12604</v>
      </c>
      <c r="G764" s="19" t="s">
        <v>892</v>
      </c>
      <c r="H764" s="18">
        <v>1</v>
      </c>
      <c r="I764" s="18" t="s">
        <v>146</v>
      </c>
    </row>
    <row r="765" spans="1:9" ht="15.75" customHeight="1" x14ac:dyDescent="0.2">
      <c r="A765" s="18" t="s">
        <v>44</v>
      </c>
      <c r="B765" s="19" t="s">
        <v>890</v>
      </c>
      <c r="C765" s="20" t="s">
        <v>891</v>
      </c>
      <c r="D765" s="21" t="s">
        <v>46</v>
      </c>
      <c r="E765" s="104"/>
      <c r="F765" s="18" t="s">
        <v>893</v>
      </c>
      <c r="G765" s="19" t="s">
        <v>894</v>
      </c>
      <c r="H765" s="18">
        <v>1</v>
      </c>
      <c r="I765" s="18" t="s">
        <v>146</v>
      </c>
    </row>
    <row r="766" spans="1:9" ht="15.75" customHeight="1" x14ac:dyDescent="0.2">
      <c r="A766" s="18" t="s">
        <v>44</v>
      </c>
      <c r="B766" s="19" t="s">
        <v>890</v>
      </c>
      <c r="C766" s="20" t="s">
        <v>891</v>
      </c>
      <c r="D766" s="21" t="s">
        <v>46</v>
      </c>
      <c r="E766" s="104"/>
      <c r="F766" s="18">
        <v>12605</v>
      </c>
      <c r="G766" s="19" t="s">
        <v>895</v>
      </c>
      <c r="H766" s="18">
        <v>1</v>
      </c>
      <c r="I766" s="18" t="s">
        <v>146</v>
      </c>
    </row>
    <row r="767" spans="1:9" ht="15.75" customHeight="1" x14ac:dyDescent="0.2">
      <c r="A767" s="18" t="s">
        <v>44</v>
      </c>
      <c r="B767" s="19" t="s">
        <v>890</v>
      </c>
      <c r="C767" s="20" t="s">
        <v>891</v>
      </c>
      <c r="D767" s="21" t="s">
        <v>46</v>
      </c>
      <c r="E767" s="105"/>
      <c r="F767" s="18" t="s">
        <v>896</v>
      </c>
      <c r="G767" s="19" t="s">
        <v>897</v>
      </c>
      <c r="H767" s="18">
        <v>1</v>
      </c>
      <c r="I767" s="18" t="s">
        <v>146</v>
      </c>
    </row>
    <row r="768" spans="1:9" ht="30" customHeight="1" x14ac:dyDescent="0.2">
      <c r="A768" s="18" t="s">
        <v>44</v>
      </c>
      <c r="B768" s="19" t="s">
        <v>890</v>
      </c>
      <c r="C768" s="20" t="s">
        <v>891</v>
      </c>
      <c r="D768" s="21" t="s">
        <v>898</v>
      </c>
      <c r="E768" s="103" t="e" vm="155">
        <v>#VALUE!</v>
      </c>
      <c r="F768" s="18">
        <v>346001</v>
      </c>
      <c r="G768" s="19" t="s">
        <v>899</v>
      </c>
      <c r="H768" s="18">
        <v>10</v>
      </c>
      <c r="I768" s="18" t="s">
        <v>48</v>
      </c>
    </row>
    <row r="769" spans="1:9" ht="30" customHeight="1" x14ac:dyDescent="0.2">
      <c r="A769" s="18" t="s">
        <v>44</v>
      </c>
      <c r="B769" s="19" t="s">
        <v>890</v>
      </c>
      <c r="C769" s="20" t="s">
        <v>891</v>
      </c>
      <c r="D769" s="21" t="s">
        <v>898</v>
      </c>
      <c r="E769" s="105"/>
      <c r="F769" s="18" t="s">
        <v>900</v>
      </c>
      <c r="G769" s="19" t="s">
        <v>901</v>
      </c>
      <c r="H769" s="18">
        <v>10</v>
      </c>
      <c r="I769" s="18" t="s">
        <v>48</v>
      </c>
    </row>
    <row r="770" spans="1:9" ht="33" customHeight="1" x14ac:dyDescent="0.2">
      <c r="A770" s="18" t="s">
        <v>44</v>
      </c>
      <c r="B770" s="19" t="s">
        <v>890</v>
      </c>
      <c r="C770" s="20" t="s">
        <v>902</v>
      </c>
      <c r="D770" s="21" t="s">
        <v>903</v>
      </c>
      <c r="E770" s="103" t="e" vm="156">
        <v>#VALUE!</v>
      </c>
      <c r="F770" s="18">
        <v>346002</v>
      </c>
      <c r="G770" s="19" t="s">
        <v>904</v>
      </c>
      <c r="H770" s="18">
        <v>10</v>
      </c>
      <c r="I770" s="18" t="s">
        <v>146</v>
      </c>
    </row>
    <row r="771" spans="1:9" ht="33" customHeight="1" x14ac:dyDescent="0.2">
      <c r="A771" s="18" t="s">
        <v>44</v>
      </c>
      <c r="B771" s="19" t="s">
        <v>890</v>
      </c>
      <c r="C771" s="20" t="s">
        <v>902</v>
      </c>
      <c r="D771" s="21" t="s">
        <v>903</v>
      </c>
      <c r="E771" s="105"/>
      <c r="F771" s="18" t="s">
        <v>905</v>
      </c>
      <c r="G771" s="19" t="s">
        <v>906</v>
      </c>
      <c r="H771" s="18">
        <v>10</v>
      </c>
      <c r="I771" s="18" t="s">
        <v>146</v>
      </c>
    </row>
    <row r="772" spans="1:9" ht="26.25" customHeight="1" x14ac:dyDescent="0.2">
      <c r="A772" s="18" t="s">
        <v>44</v>
      </c>
      <c r="B772" s="19" t="s">
        <v>890</v>
      </c>
      <c r="C772" s="20" t="s">
        <v>902</v>
      </c>
      <c r="D772" s="21" t="s">
        <v>903</v>
      </c>
      <c r="E772" s="103" t="e" vm="157">
        <v>#VALUE!</v>
      </c>
      <c r="F772" s="18">
        <v>346003</v>
      </c>
      <c r="G772" s="19" t="s">
        <v>907</v>
      </c>
      <c r="H772" s="18">
        <v>25</v>
      </c>
      <c r="I772" s="18" t="s">
        <v>146</v>
      </c>
    </row>
    <row r="773" spans="1:9" ht="26.25" customHeight="1" x14ac:dyDescent="0.2">
      <c r="A773" s="18" t="s">
        <v>44</v>
      </c>
      <c r="B773" s="19" t="s">
        <v>890</v>
      </c>
      <c r="C773" s="20" t="s">
        <v>902</v>
      </c>
      <c r="D773" s="21" t="s">
        <v>903</v>
      </c>
      <c r="E773" s="105"/>
      <c r="F773" s="18" t="s">
        <v>908</v>
      </c>
      <c r="G773" s="19" t="s">
        <v>909</v>
      </c>
      <c r="H773" s="18">
        <v>25</v>
      </c>
      <c r="I773" s="18" t="s">
        <v>146</v>
      </c>
    </row>
    <row r="774" spans="1:9" ht="28.5" customHeight="1" x14ac:dyDescent="0.2">
      <c r="A774" s="18" t="s">
        <v>44</v>
      </c>
      <c r="B774" s="19" t="s">
        <v>890</v>
      </c>
      <c r="C774" s="20" t="s">
        <v>902</v>
      </c>
      <c r="D774" s="21" t="s">
        <v>903</v>
      </c>
      <c r="E774" s="103" t="e" vm="158">
        <v>#VALUE!</v>
      </c>
      <c r="F774" s="18">
        <v>346004</v>
      </c>
      <c r="G774" s="19" t="s">
        <v>910</v>
      </c>
      <c r="H774" s="18">
        <v>17</v>
      </c>
      <c r="I774" s="18" t="s">
        <v>146</v>
      </c>
    </row>
    <row r="775" spans="1:9" ht="28.5" customHeight="1" x14ac:dyDescent="0.2">
      <c r="A775" s="18" t="s">
        <v>44</v>
      </c>
      <c r="B775" s="19" t="s">
        <v>890</v>
      </c>
      <c r="C775" s="20" t="s">
        <v>902</v>
      </c>
      <c r="D775" s="21" t="s">
        <v>903</v>
      </c>
      <c r="E775" s="105"/>
      <c r="F775" s="18" t="s">
        <v>911</v>
      </c>
      <c r="G775" s="19" t="s">
        <v>912</v>
      </c>
      <c r="H775" s="18">
        <v>17</v>
      </c>
      <c r="I775" s="18" t="s">
        <v>146</v>
      </c>
    </row>
    <row r="776" spans="1:9" ht="27.75" customHeight="1" x14ac:dyDescent="0.2">
      <c r="A776" s="18" t="s">
        <v>44</v>
      </c>
      <c r="B776" s="19" t="s">
        <v>890</v>
      </c>
      <c r="C776" s="20" t="s">
        <v>902</v>
      </c>
      <c r="D776" s="21" t="s">
        <v>903</v>
      </c>
      <c r="E776" s="103" t="e" vm="159">
        <v>#VALUE!</v>
      </c>
      <c r="F776" s="18">
        <v>346014</v>
      </c>
      <c r="G776" s="19" t="s">
        <v>913</v>
      </c>
      <c r="H776" s="18">
        <v>17</v>
      </c>
      <c r="I776" s="18" t="s">
        <v>146</v>
      </c>
    </row>
    <row r="777" spans="1:9" ht="27" customHeight="1" x14ac:dyDescent="0.2">
      <c r="A777" s="18" t="s">
        <v>44</v>
      </c>
      <c r="B777" s="19" t="s">
        <v>890</v>
      </c>
      <c r="C777" s="20" t="s">
        <v>902</v>
      </c>
      <c r="D777" s="21" t="s">
        <v>903</v>
      </c>
      <c r="E777" s="105"/>
      <c r="F777" s="18" t="s">
        <v>914</v>
      </c>
      <c r="G777" s="19" t="s">
        <v>913</v>
      </c>
      <c r="H777" s="18">
        <v>17</v>
      </c>
      <c r="I777" s="18" t="s">
        <v>146</v>
      </c>
    </row>
    <row r="778" spans="1:9" ht="27.75" customHeight="1" x14ac:dyDescent="0.2">
      <c r="A778" s="18" t="s">
        <v>44</v>
      </c>
      <c r="B778" s="19" t="s">
        <v>890</v>
      </c>
      <c r="C778" s="20" t="s">
        <v>902</v>
      </c>
      <c r="D778" s="21" t="s">
        <v>903</v>
      </c>
      <c r="E778" s="111" t="e" vm="160">
        <v>#VALUE!</v>
      </c>
      <c r="F778" s="18">
        <v>346021</v>
      </c>
      <c r="G778" s="19" t="s">
        <v>915</v>
      </c>
      <c r="H778" s="18">
        <v>10</v>
      </c>
      <c r="I778" s="18" t="s">
        <v>146</v>
      </c>
    </row>
    <row r="779" spans="1:9" ht="27.75" customHeight="1" x14ac:dyDescent="0.2">
      <c r="A779" s="18" t="s">
        <v>44</v>
      </c>
      <c r="B779" s="19" t="s">
        <v>890</v>
      </c>
      <c r="C779" s="20" t="s">
        <v>902</v>
      </c>
      <c r="D779" s="21" t="s">
        <v>903</v>
      </c>
      <c r="E779" s="111"/>
      <c r="F779" s="18" t="s">
        <v>916</v>
      </c>
      <c r="G779" s="19" t="s">
        <v>917</v>
      </c>
      <c r="H779" s="18">
        <v>10</v>
      </c>
      <c r="I779" s="18" t="s">
        <v>146</v>
      </c>
    </row>
    <row r="780" spans="1:9" ht="26.25" customHeight="1" x14ac:dyDescent="0.2">
      <c r="A780" s="18" t="s">
        <v>44</v>
      </c>
      <c r="B780" s="19" t="s">
        <v>890</v>
      </c>
      <c r="C780" s="20" t="s">
        <v>902</v>
      </c>
      <c r="D780" s="21" t="s">
        <v>903</v>
      </c>
      <c r="E780" s="103" t="e" vm="161">
        <v>#VALUE!</v>
      </c>
      <c r="F780" s="18">
        <v>346005</v>
      </c>
      <c r="G780" s="19" t="s">
        <v>918</v>
      </c>
      <c r="H780" s="18">
        <v>10</v>
      </c>
      <c r="I780" s="18" t="s">
        <v>146</v>
      </c>
    </row>
    <row r="781" spans="1:9" ht="26.25" customHeight="1" x14ac:dyDescent="0.2">
      <c r="A781" s="18" t="s">
        <v>44</v>
      </c>
      <c r="B781" s="19" t="s">
        <v>890</v>
      </c>
      <c r="C781" s="20" t="s">
        <v>902</v>
      </c>
      <c r="D781" s="21" t="s">
        <v>903</v>
      </c>
      <c r="E781" s="105"/>
      <c r="F781" s="18" t="s">
        <v>919</v>
      </c>
      <c r="G781" s="19" t="s">
        <v>920</v>
      </c>
      <c r="H781" s="18">
        <v>10</v>
      </c>
      <c r="I781" s="18" t="s">
        <v>146</v>
      </c>
    </row>
    <row r="782" spans="1:9" ht="26.25" customHeight="1" x14ac:dyDescent="0.2">
      <c r="A782" s="18" t="s">
        <v>44</v>
      </c>
      <c r="B782" s="19" t="s">
        <v>890</v>
      </c>
      <c r="C782" s="20" t="s">
        <v>902</v>
      </c>
      <c r="D782" s="21" t="s">
        <v>903</v>
      </c>
      <c r="E782" s="103" t="e" vm="162">
        <v>#VALUE!</v>
      </c>
      <c r="F782" s="18">
        <v>346006</v>
      </c>
      <c r="G782" s="19" t="s">
        <v>921</v>
      </c>
      <c r="H782" s="18">
        <v>10</v>
      </c>
      <c r="I782" s="18" t="s">
        <v>146</v>
      </c>
    </row>
    <row r="783" spans="1:9" ht="26.25" customHeight="1" x14ac:dyDescent="0.2">
      <c r="A783" s="18" t="s">
        <v>44</v>
      </c>
      <c r="B783" s="19" t="s">
        <v>890</v>
      </c>
      <c r="C783" s="20" t="s">
        <v>902</v>
      </c>
      <c r="D783" s="21" t="s">
        <v>903</v>
      </c>
      <c r="E783" s="105"/>
      <c r="F783" s="18" t="s">
        <v>922</v>
      </c>
      <c r="G783" s="19" t="s">
        <v>923</v>
      </c>
      <c r="H783" s="18">
        <v>10</v>
      </c>
      <c r="I783" s="18" t="s">
        <v>146</v>
      </c>
    </row>
    <row r="784" spans="1:9" ht="26.25" customHeight="1" x14ac:dyDescent="0.2">
      <c r="A784" s="18" t="s">
        <v>44</v>
      </c>
      <c r="B784" s="19" t="s">
        <v>890</v>
      </c>
      <c r="C784" s="20" t="s">
        <v>902</v>
      </c>
      <c r="D784" s="21" t="s">
        <v>903</v>
      </c>
      <c r="E784" s="103" t="e" vm="163">
        <v>#VALUE!</v>
      </c>
      <c r="F784" s="18">
        <v>346015</v>
      </c>
      <c r="G784" s="19" t="s">
        <v>924</v>
      </c>
      <c r="H784" s="18">
        <v>10</v>
      </c>
      <c r="I784" s="18" t="s">
        <v>146</v>
      </c>
    </row>
    <row r="785" spans="1:9" ht="26.25" customHeight="1" x14ac:dyDescent="0.2">
      <c r="A785" s="18" t="s">
        <v>44</v>
      </c>
      <c r="B785" s="19" t="s">
        <v>890</v>
      </c>
      <c r="C785" s="20" t="s">
        <v>902</v>
      </c>
      <c r="D785" s="21" t="s">
        <v>903</v>
      </c>
      <c r="E785" s="105"/>
      <c r="F785" s="18" t="s">
        <v>925</v>
      </c>
      <c r="G785" s="19" t="s">
        <v>926</v>
      </c>
      <c r="H785" s="18">
        <v>10</v>
      </c>
      <c r="I785" s="18" t="s">
        <v>146</v>
      </c>
    </row>
    <row r="786" spans="1:9" ht="37.5" customHeight="1" x14ac:dyDescent="0.2">
      <c r="A786" s="18" t="s">
        <v>44</v>
      </c>
      <c r="B786" s="19" t="s">
        <v>890</v>
      </c>
      <c r="C786" s="20" t="s">
        <v>902</v>
      </c>
      <c r="D786" s="21" t="s">
        <v>903</v>
      </c>
      <c r="E786" s="103" t="e" vm="164">
        <v>#VALUE!</v>
      </c>
      <c r="F786" s="18">
        <v>346007</v>
      </c>
      <c r="G786" s="19" t="s">
        <v>927</v>
      </c>
      <c r="H786" s="18">
        <v>50</v>
      </c>
      <c r="I786" s="18" t="s">
        <v>146</v>
      </c>
    </row>
    <row r="787" spans="1:9" ht="37.5" customHeight="1" x14ac:dyDescent="0.2">
      <c r="A787" s="18" t="s">
        <v>44</v>
      </c>
      <c r="B787" s="19" t="s">
        <v>890</v>
      </c>
      <c r="C787" s="20" t="s">
        <v>902</v>
      </c>
      <c r="D787" s="21" t="s">
        <v>903</v>
      </c>
      <c r="E787" s="105"/>
      <c r="F787" s="18" t="s">
        <v>928</v>
      </c>
      <c r="G787" s="19" t="s">
        <v>929</v>
      </c>
      <c r="H787" s="18">
        <v>50</v>
      </c>
      <c r="I787" s="18" t="s">
        <v>146</v>
      </c>
    </row>
    <row r="788" spans="1:9" ht="37.5" customHeight="1" x14ac:dyDescent="0.2">
      <c r="A788" s="18" t="s">
        <v>44</v>
      </c>
      <c r="B788" s="19" t="s">
        <v>890</v>
      </c>
      <c r="C788" s="20" t="s">
        <v>902</v>
      </c>
      <c r="D788" s="21" t="s">
        <v>903</v>
      </c>
      <c r="E788" s="103" t="e" vm="165">
        <v>#VALUE!</v>
      </c>
      <c r="F788" s="18">
        <v>346012</v>
      </c>
      <c r="G788" s="19" t="s">
        <v>930</v>
      </c>
      <c r="H788" s="18">
        <v>20</v>
      </c>
      <c r="I788" s="18" t="s">
        <v>146</v>
      </c>
    </row>
    <row r="789" spans="1:9" ht="37.5" customHeight="1" x14ac:dyDescent="0.2">
      <c r="A789" s="18" t="s">
        <v>44</v>
      </c>
      <c r="B789" s="19" t="s">
        <v>890</v>
      </c>
      <c r="C789" s="20" t="s">
        <v>902</v>
      </c>
      <c r="D789" s="21" t="s">
        <v>903</v>
      </c>
      <c r="E789" s="105"/>
      <c r="F789" s="18" t="s">
        <v>931</v>
      </c>
      <c r="G789" s="19" t="s">
        <v>932</v>
      </c>
      <c r="H789" s="18">
        <v>20</v>
      </c>
      <c r="I789" s="18" t="s">
        <v>146</v>
      </c>
    </row>
    <row r="790" spans="1:9" ht="36" customHeight="1" x14ac:dyDescent="0.2">
      <c r="A790" s="18" t="s">
        <v>44</v>
      </c>
      <c r="B790" s="19" t="s">
        <v>890</v>
      </c>
      <c r="C790" s="20" t="s">
        <v>902</v>
      </c>
      <c r="D790" s="21" t="s">
        <v>903</v>
      </c>
      <c r="E790" s="103" t="e" vm="166">
        <v>#VALUE!</v>
      </c>
      <c r="F790" s="18">
        <v>346008</v>
      </c>
      <c r="G790" s="19" t="s">
        <v>933</v>
      </c>
      <c r="H790" s="18">
        <v>5</v>
      </c>
      <c r="I790" s="18" t="s">
        <v>146</v>
      </c>
    </row>
    <row r="791" spans="1:9" ht="36" customHeight="1" x14ac:dyDescent="0.2">
      <c r="A791" s="18" t="s">
        <v>44</v>
      </c>
      <c r="B791" s="19" t="s">
        <v>890</v>
      </c>
      <c r="C791" s="20" t="s">
        <v>902</v>
      </c>
      <c r="D791" s="21" t="s">
        <v>903</v>
      </c>
      <c r="E791" s="105"/>
      <c r="F791" s="18" t="s">
        <v>934</v>
      </c>
      <c r="G791" s="19" t="s">
        <v>935</v>
      </c>
      <c r="H791" s="18">
        <v>5</v>
      </c>
      <c r="I791" s="18" t="s">
        <v>146</v>
      </c>
    </row>
    <row r="792" spans="1:9" ht="33" customHeight="1" x14ac:dyDescent="0.2">
      <c r="A792" s="18" t="s">
        <v>44</v>
      </c>
      <c r="B792" s="19" t="s">
        <v>890</v>
      </c>
      <c r="C792" s="20" t="s">
        <v>902</v>
      </c>
      <c r="D792" s="21" t="s">
        <v>903</v>
      </c>
      <c r="E792" s="103" t="e" vm="167">
        <v>#VALUE!</v>
      </c>
      <c r="F792" s="18">
        <v>346009</v>
      </c>
      <c r="G792" s="19" t="s">
        <v>936</v>
      </c>
      <c r="H792" s="18">
        <v>10</v>
      </c>
      <c r="I792" s="18" t="s">
        <v>146</v>
      </c>
    </row>
    <row r="793" spans="1:9" ht="33" customHeight="1" x14ac:dyDescent="0.2">
      <c r="A793" s="18" t="s">
        <v>44</v>
      </c>
      <c r="B793" s="19" t="s">
        <v>890</v>
      </c>
      <c r="C793" s="20" t="s">
        <v>902</v>
      </c>
      <c r="D793" s="21" t="s">
        <v>903</v>
      </c>
      <c r="E793" s="105"/>
      <c r="F793" s="18" t="s">
        <v>937</v>
      </c>
      <c r="G793" s="19" t="s">
        <v>938</v>
      </c>
      <c r="H793" s="18">
        <v>10</v>
      </c>
      <c r="I793" s="18" t="s">
        <v>146</v>
      </c>
    </row>
    <row r="794" spans="1:9" ht="33" customHeight="1" x14ac:dyDescent="0.2">
      <c r="A794" s="18" t="s">
        <v>44</v>
      </c>
      <c r="B794" s="19" t="s">
        <v>890</v>
      </c>
      <c r="C794" s="20" t="s">
        <v>902</v>
      </c>
      <c r="D794" s="21" t="s">
        <v>903</v>
      </c>
      <c r="E794" s="113" t="e" vm="168">
        <v>#VALUE!</v>
      </c>
      <c r="F794" s="18">
        <v>46019</v>
      </c>
      <c r="G794" s="19" t="s">
        <v>939</v>
      </c>
      <c r="H794" s="18">
        <v>1</v>
      </c>
      <c r="I794" s="18" t="s">
        <v>146</v>
      </c>
    </row>
    <row r="795" spans="1:9" ht="33" customHeight="1" x14ac:dyDescent="0.2">
      <c r="A795" s="18" t="s">
        <v>44</v>
      </c>
      <c r="B795" s="19" t="s">
        <v>890</v>
      </c>
      <c r="C795" s="20" t="s">
        <v>902</v>
      </c>
      <c r="D795" s="21" t="s">
        <v>903</v>
      </c>
      <c r="E795" s="105"/>
      <c r="F795" s="18" t="s">
        <v>940</v>
      </c>
      <c r="G795" s="19" t="s">
        <v>941</v>
      </c>
      <c r="H795" s="18">
        <v>1</v>
      </c>
      <c r="I795" s="18" t="s">
        <v>146</v>
      </c>
    </row>
    <row r="796" spans="1:9" ht="32.25" customHeight="1" x14ac:dyDescent="0.2">
      <c r="A796" s="18" t="s">
        <v>44</v>
      </c>
      <c r="B796" s="19" t="s">
        <v>890</v>
      </c>
      <c r="C796" s="20" t="s">
        <v>902</v>
      </c>
      <c r="D796" s="21" t="s">
        <v>903</v>
      </c>
      <c r="E796" s="103" t="e" vm="169">
        <v>#VALUE!</v>
      </c>
      <c r="F796" s="18">
        <v>346010</v>
      </c>
      <c r="G796" s="19" t="s">
        <v>942</v>
      </c>
      <c r="H796" s="18">
        <v>10</v>
      </c>
      <c r="I796" s="18" t="s">
        <v>146</v>
      </c>
    </row>
    <row r="797" spans="1:9" ht="32.25" customHeight="1" x14ac:dyDescent="0.2">
      <c r="A797" s="18" t="s">
        <v>44</v>
      </c>
      <c r="B797" s="19" t="s">
        <v>890</v>
      </c>
      <c r="C797" s="20" t="s">
        <v>902</v>
      </c>
      <c r="D797" s="21" t="s">
        <v>903</v>
      </c>
      <c r="E797" s="105"/>
      <c r="F797" s="18" t="s">
        <v>943</v>
      </c>
      <c r="G797" s="19" t="s">
        <v>944</v>
      </c>
      <c r="H797" s="18">
        <v>10</v>
      </c>
      <c r="I797" s="18" t="s">
        <v>146</v>
      </c>
    </row>
    <row r="798" spans="1:9" ht="45" customHeight="1" x14ac:dyDescent="0.2">
      <c r="A798" s="18" t="s">
        <v>44</v>
      </c>
      <c r="B798" s="19" t="s">
        <v>890</v>
      </c>
      <c r="C798" s="20" t="s">
        <v>902</v>
      </c>
      <c r="D798" s="21" t="s">
        <v>903</v>
      </c>
      <c r="E798" s="103" t="e" vm="170">
        <v>#VALUE!</v>
      </c>
      <c r="F798" s="18">
        <v>346011</v>
      </c>
      <c r="G798" s="19" t="s">
        <v>945</v>
      </c>
      <c r="H798" s="18">
        <v>10</v>
      </c>
      <c r="I798" s="18" t="s">
        <v>146</v>
      </c>
    </row>
    <row r="799" spans="1:9" ht="45" customHeight="1" x14ac:dyDescent="0.2">
      <c r="A799" s="18" t="s">
        <v>44</v>
      </c>
      <c r="B799" s="19" t="s">
        <v>890</v>
      </c>
      <c r="C799" s="20" t="s">
        <v>902</v>
      </c>
      <c r="D799" s="21" t="s">
        <v>903</v>
      </c>
      <c r="E799" s="105"/>
      <c r="F799" s="18" t="s">
        <v>946</v>
      </c>
      <c r="G799" s="19" t="s">
        <v>947</v>
      </c>
      <c r="H799" s="18">
        <v>10</v>
      </c>
      <c r="I799" s="18" t="s">
        <v>146</v>
      </c>
    </row>
    <row r="800" spans="1:9" ht="27.75" customHeight="1" x14ac:dyDescent="0.2">
      <c r="A800" s="18" t="s">
        <v>44</v>
      </c>
      <c r="B800" s="19" t="s">
        <v>890</v>
      </c>
      <c r="C800" s="20" t="s">
        <v>902</v>
      </c>
      <c r="D800" s="21" t="s">
        <v>903</v>
      </c>
      <c r="E800" s="103" t="e" vm="171">
        <v>#VALUE!</v>
      </c>
      <c r="F800" s="18">
        <v>346013</v>
      </c>
      <c r="G800" s="19" t="s">
        <v>948</v>
      </c>
      <c r="H800" s="18">
        <v>10</v>
      </c>
      <c r="I800" s="18" t="s">
        <v>146</v>
      </c>
    </row>
    <row r="801" spans="1:9" ht="27.75" customHeight="1" x14ac:dyDescent="0.2">
      <c r="A801" s="18" t="s">
        <v>44</v>
      </c>
      <c r="B801" s="19" t="s">
        <v>890</v>
      </c>
      <c r="C801" s="20" t="s">
        <v>902</v>
      </c>
      <c r="D801" s="21" t="s">
        <v>903</v>
      </c>
      <c r="E801" s="105"/>
      <c r="F801" s="18" t="s">
        <v>949</v>
      </c>
      <c r="G801" s="19" t="s">
        <v>950</v>
      </c>
      <c r="H801" s="18">
        <v>10</v>
      </c>
      <c r="I801" s="18" t="s">
        <v>146</v>
      </c>
    </row>
    <row r="802" spans="1:9" ht="42.75" customHeight="1" x14ac:dyDescent="0.2">
      <c r="A802" s="18" t="s">
        <v>44</v>
      </c>
      <c r="B802" s="19" t="s">
        <v>890</v>
      </c>
      <c r="C802" s="20" t="s">
        <v>902</v>
      </c>
      <c r="D802" s="21" t="s">
        <v>903</v>
      </c>
      <c r="E802" s="76" t="e" vm="172">
        <v>#VALUE!</v>
      </c>
      <c r="F802" s="18">
        <v>346017</v>
      </c>
      <c r="G802" s="19" t="s">
        <v>951</v>
      </c>
      <c r="H802" s="18">
        <v>1</v>
      </c>
      <c r="I802" s="18" t="s">
        <v>146</v>
      </c>
    </row>
    <row r="803" spans="1:9" ht="24" customHeight="1" x14ac:dyDescent="0.2">
      <c r="A803" s="18" t="s">
        <v>44</v>
      </c>
      <c r="B803" s="19" t="s">
        <v>890</v>
      </c>
      <c r="C803" s="19" t="s">
        <v>902</v>
      </c>
      <c r="D803" s="18" t="s">
        <v>77</v>
      </c>
      <c r="E803" s="111" t="e" vm="173">
        <v>#VALUE!</v>
      </c>
      <c r="F803" s="18">
        <v>346020</v>
      </c>
      <c r="G803" s="19" t="s">
        <v>952</v>
      </c>
      <c r="H803" s="18">
        <v>10</v>
      </c>
      <c r="I803" s="18" t="s">
        <v>146</v>
      </c>
    </row>
    <row r="804" spans="1:9" ht="24" customHeight="1" x14ac:dyDescent="0.2">
      <c r="A804" s="18" t="s">
        <v>44</v>
      </c>
      <c r="B804" s="19" t="s">
        <v>890</v>
      </c>
      <c r="C804" s="19" t="s">
        <v>902</v>
      </c>
      <c r="D804" s="18" t="s">
        <v>77</v>
      </c>
      <c r="E804" s="111"/>
      <c r="F804" s="18" t="s">
        <v>953</v>
      </c>
      <c r="G804" s="19" t="s">
        <v>954</v>
      </c>
      <c r="H804" s="18">
        <v>10</v>
      </c>
      <c r="I804" s="18" t="s">
        <v>146</v>
      </c>
    </row>
    <row r="805" spans="1:9" ht="18.75" customHeight="1" x14ac:dyDescent="0.2">
      <c r="A805" s="18" t="s">
        <v>44</v>
      </c>
      <c r="B805" s="19" t="s">
        <v>890</v>
      </c>
      <c r="C805" s="19" t="s">
        <v>902</v>
      </c>
      <c r="D805" s="18" t="s">
        <v>77</v>
      </c>
      <c r="E805" s="111" t="e" vm="174">
        <v>#VALUE!</v>
      </c>
      <c r="F805" s="18">
        <v>346022</v>
      </c>
      <c r="G805" s="19" t="s">
        <v>955</v>
      </c>
      <c r="H805" s="18">
        <v>10</v>
      </c>
      <c r="I805" s="18" t="s">
        <v>146</v>
      </c>
    </row>
    <row r="806" spans="1:9" ht="18.75" customHeight="1" x14ac:dyDescent="0.2">
      <c r="A806" s="18" t="s">
        <v>44</v>
      </c>
      <c r="B806" s="19" t="s">
        <v>890</v>
      </c>
      <c r="C806" s="19" t="s">
        <v>902</v>
      </c>
      <c r="D806" s="18" t="s">
        <v>77</v>
      </c>
      <c r="E806" s="111"/>
      <c r="F806" s="18" t="s">
        <v>956</v>
      </c>
      <c r="G806" s="19" t="s">
        <v>957</v>
      </c>
      <c r="H806" s="18">
        <v>10</v>
      </c>
      <c r="I806" s="18" t="s">
        <v>146</v>
      </c>
    </row>
    <row r="807" spans="1:9" ht="31.5" customHeight="1" x14ac:dyDescent="0.2">
      <c r="A807" s="18" t="s">
        <v>44</v>
      </c>
      <c r="B807" s="19" t="s">
        <v>890</v>
      </c>
      <c r="C807" s="20" t="s">
        <v>902</v>
      </c>
      <c r="D807" s="21" t="s">
        <v>903</v>
      </c>
      <c r="E807" s="76" t="e" vm="175">
        <v>#VALUE!</v>
      </c>
      <c r="F807" s="18">
        <v>346016</v>
      </c>
      <c r="G807" s="19" t="s">
        <v>958</v>
      </c>
      <c r="H807" s="18">
        <v>10</v>
      </c>
      <c r="I807" s="18" t="s">
        <v>146</v>
      </c>
    </row>
    <row r="808" spans="1:9" ht="32.25" customHeight="1" x14ac:dyDescent="0.2">
      <c r="A808" s="18" t="s">
        <v>44</v>
      </c>
      <c r="B808" s="19" t="s">
        <v>959</v>
      </c>
      <c r="C808" s="19" t="s">
        <v>960</v>
      </c>
      <c r="D808" s="18" t="s">
        <v>46</v>
      </c>
      <c r="E808" s="107" t="e" vm="176">
        <v>#VALUE!</v>
      </c>
      <c r="F808" s="18">
        <v>15562</v>
      </c>
      <c r="G808" s="19" t="s">
        <v>961</v>
      </c>
      <c r="H808" s="18">
        <v>1</v>
      </c>
      <c r="I808" s="18" t="s">
        <v>146</v>
      </c>
    </row>
    <row r="809" spans="1:9" ht="32.25" customHeight="1" x14ac:dyDescent="0.2">
      <c r="A809" s="18" t="s">
        <v>44</v>
      </c>
      <c r="B809" s="19" t="s">
        <v>959</v>
      </c>
      <c r="C809" s="19" t="s">
        <v>960</v>
      </c>
      <c r="D809" s="18" t="s">
        <v>46</v>
      </c>
      <c r="E809" s="108"/>
      <c r="F809" s="18">
        <v>15563</v>
      </c>
      <c r="G809" s="19" t="s">
        <v>962</v>
      </c>
      <c r="H809" s="18">
        <v>1</v>
      </c>
      <c r="I809" s="18" t="s">
        <v>146</v>
      </c>
    </row>
    <row r="810" spans="1:9" ht="32.25" customHeight="1" x14ac:dyDescent="0.2">
      <c r="A810" s="18" t="s">
        <v>44</v>
      </c>
      <c r="B810" s="19" t="s">
        <v>959</v>
      </c>
      <c r="C810" s="19" t="s">
        <v>960</v>
      </c>
      <c r="D810" s="18" t="s">
        <v>46</v>
      </c>
      <c r="E810" s="108"/>
      <c r="F810" s="18">
        <v>15506</v>
      </c>
      <c r="G810" s="19" t="s">
        <v>963</v>
      </c>
      <c r="H810" s="18">
        <v>1</v>
      </c>
      <c r="I810" s="18" t="s">
        <v>146</v>
      </c>
    </row>
    <row r="811" spans="1:9" ht="32.25" customHeight="1" x14ac:dyDescent="0.2">
      <c r="A811" s="18" t="s">
        <v>44</v>
      </c>
      <c r="B811" s="19" t="s">
        <v>959</v>
      </c>
      <c r="C811" s="19" t="s">
        <v>960</v>
      </c>
      <c r="D811" s="18" t="s">
        <v>46</v>
      </c>
      <c r="E811" s="108"/>
      <c r="F811" s="18">
        <v>15509</v>
      </c>
      <c r="G811" s="19" t="s">
        <v>964</v>
      </c>
      <c r="H811" s="18">
        <v>1</v>
      </c>
      <c r="I811" s="18" t="s">
        <v>146</v>
      </c>
    </row>
    <row r="812" spans="1:9" ht="32.25" customHeight="1" x14ac:dyDescent="0.2">
      <c r="A812" s="18" t="s">
        <v>44</v>
      </c>
      <c r="B812" s="19" t="s">
        <v>959</v>
      </c>
      <c r="C812" s="19" t="s">
        <v>965</v>
      </c>
      <c r="D812" s="18" t="s">
        <v>77</v>
      </c>
      <c r="E812" s="107" t="e" vm="177">
        <v>#VALUE!</v>
      </c>
      <c r="F812" s="18">
        <v>15570</v>
      </c>
      <c r="G812" s="19" t="s">
        <v>966</v>
      </c>
      <c r="H812" s="18">
        <v>1</v>
      </c>
      <c r="I812" s="18" t="s">
        <v>146</v>
      </c>
    </row>
    <row r="813" spans="1:9" ht="32.25" customHeight="1" x14ac:dyDescent="0.2">
      <c r="A813" s="18" t="s">
        <v>44</v>
      </c>
      <c r="B813" s="19" t="s">
        <v>959</v>
      </c>
      <c r="C813" s="19" t="s">
        <v>965</v>
      </c>
      <c r="D813" s="18" t="s">
        <v>77</v>
      </c>
      <c r="E813" s="108"/>
      <c r="F813" s="18">
        <v>15571</v>
      </c>
      <c r="G813" s="19" t="s">
        <v>967</v>
      </c>
      <c r="H813" s="18">
        <v>1</v>
      </c>
      <c r="I813" s="18" t="s">
        <v>146</v>
      </c>
    </row>
    <row r="814" spans="1:9" ht="32.25" customHeight="1" x14ac:dyDescent="0.2">
      <c r="A814" s="18" t="s">
        <v>44</v>
      </c>
      <c r="B814" s="19" t="s">
        <v>959</v>
      </c>
      <c r="C814" s="19" t="s">
        <v>965</v>
      </c>
      <c r="D814" s="18" t="s">
        <v>77</v>
      </c>
      <c r="E814" s="73" t="e" vm="178">
        <v>#VALUE!</v>
      </c>
      <c r="F814" s="18">
        <v>15572</v>
      </c>
      <c r="G814" s="19" t="s">
        <v>968</v>
      </c>
      <c r="H814" s="18">
        <v>100</v>
      </c>
      <c r="I814" s="18" t="s">
        <v>48</v>
      </c>
    </row>
    <row r="815" spans="1:9" ht="32.25" customHeight="1" x14ac:dyDescent="0.2">
      <c r="A815" s="18" t="s">
        <v>44</v>
      </c>
      <c r="B815" s="19" t="s">
        <v>959</v>
      </c>
      <c r="C815" s="19" t="s">
        <v>965</v>
      </c>
      <c r="D815" s="18" t="s">
        <v>77</v>
      </c>
      <c r="E815" s="76" t="e" vm="179">
        <v>#VALUE!</v>
      </c>
      <c r="F815" s="18">
        <v>15573</v>
      </c>
      <c r="G815" s="19" t="s">
        <v>969</v>
      </c>
      <c r="H815" s="18">
        <v>100</v>
      </c>
      <c r="I815" s="18" t="s">
        <v>48</v>
      </c>
    </row>
    <row r="816" spans="1:9" ht="32.25" customHeight="1" x14ac:dyDescent="0.2">
      <c r="A816" s="18" t="s">
        <v>44</v>
      </c>
      <c r="B816" s="19" t="s">
        <v>959</v>
      </c>
      <c r="C816" s="19" t="s">
        <v>965</v>
      </c>
      <c r="D816" s="18" t="s">
        <v>77</v>
      </c>
      <c r="E816" s="76" t="e" vm="180">
        <v>#VALUE!</v>
      </c>
      <c r="F816" s="18">
        <v>15574</v>
      </c>
      <c r="G816" s="19" t="s">
        <v>970</v>
      </c>
      <c r="H816" s="18">
        <v>100</v>
      </c>
      <c r="I816" s="18" t="s">
        <v>48</v>
      </c>
    </row>
    <row r="817" spans="1:9" ht="32.25" customHeight="1" x14ac:dyDescent="0.2">
      <c r="A817" s="18" t="s">
        <v>44</v>
      </c>
      <c r="B817" s="19" t="s">
        <v>959</v>
      </c>
      <c r="C817" s="19" t="s">
        <v>965</v>
      </c>
      <c r="D817" s="18" t="s">
        <v>77</v>
      </c>
      <c r="E817" s="76" t="e" vm="181">
        <v>#VALUE!</v>
      </c>
      <c r="F817" s="18">
        <v>15575</v>
      </c>
      <c r="G817" s="19" t="s">
        <v>971</v>
      </c>
      <c r="H817" s="18">
        <v>50</v>
      </c>
      <c r="I817" s="18" t="s">
        <v>48</v>
      </c>
    </row>
    <row r="818" spans="1:9" ht="32.25" customHeight="1" x14ac:dyDescent="0.2">
      <c r="A818" s="18" t="s">
        <v>44</v>
      </c>
      <c r="B818" s="19" t="s">
        <v>959</v>
      </c>
      <c r="C818" s="19" t="s">
        <v>965</v>
      </c>
      <c r="D818" s="18" t="s">
        <v>77</v>
      </c>
      <c r="E818" s="76" t="e" vm="182">
        <v>#VALUE!</v>
      </c>
      <c r="F818" s="18">
        <v>15576</v>
      </c>
      <c r="G818" s="19" t="s">
        <v>972</v>
      </c>
      <c r="H818" s="18">
        <v>100</v>
      </c>
      <c r="I818" s="18" t="s">
        <v>48</v>
      </c>
    </row>
    <row r="819" spans="1:9" ht="32.25" customHeight="1" x14ac:dyDescent="0.2">
      <c r="A819" s="18" t="s">
        <v>44</v>
      </c>
      <c r="B819" s="19" t="s">
        <v>959</v>
      </c>
      <c r="C819" s="19" t="s">
        <v>965</v>
      </c>
      <c r="D819" s="18" t="s">
        <v>77</v>
      </c>
      <c r="E819" s="76" t="e" vm="183">
        <v>#VALUE!</v>
      </c>
      <c r="F819" s="18">
        <v>15577</v>
      </c>
      <c r="G819" s="19" t="s">
        <v>973</v>
      </c>
      <c r="H819" s="18">
        <v>1000</v>
      </c>
      <c r="I819" s="18" t="s">
        <v>48</v>
      </c>
    </row>
    <row r="820" spans="1:9" ht="32.25" customHeight="1" x14ac:dyDescent="0.2">
      <c r="A820" s="18" t="s">
        <v>44</v>
      </c>
      <c r="B820" s="19" t="s">
        <v>959</v>
      </c>
      <c r="C820" s="19" t="s">
        <v>965</v>
      </c>
      <c r="D820" s="18" t="s">
        <v>77</v>
      </c>
      <c r="E820" s="76" t="e" vm="184">
        <v>#VALUE!</v>
      </c>
      <c r="F820" s="18">
        <v>15578</v>
      </c>
      <c r="G820" s="19" t="s">
        <v>974</v>
      </c>
      <c r="H820" s="18">
        <v>250</v>
      </c>
      <c r="I820" s="18" t="s">
        <v>48</v>
      </c>
    </row>
    <row r="821" spans="1:9" ht="32.25" customHeight="1" x14ac:dyDescent="0.2">
      <c r="A821" s="18" t="s">
        <v>44</v>
      </c>
      <c r="B821" s="19" t="s">
        <v>959</v>
      </c>
      <c r="C821" s="19" t="s">
        <v>965</v>
      </c>
      <c r="D821" s="18" t="s">
        <v>77</v>
      </c>
      <c r="E821" s="76" t="e" vm="185">
        <v>#VALUE!</v>
      </c>
      <c r="F821" s="18">
        <v>15579</v>
      </c>
      <c r="G821" s="19" t="s">
        <v>975</v>
      </c>
      <c r="H821" s="18">
        <v>100</v>
      </c>
      <c r="I821" s="18" t="s">
        <v>48</v>
      </c>
    </row>
    <row r="822" spans="1:9" ht="32.25" customHeight="1" x14ac:dyDescent="0.2">
      <c r="A822" s="18" t="s">
        <v>44</v>
      </c>
      <c r="B822" s="19" t="s">
        <v>959</v>
      </c>
      <c r="C822" s="19" t="s">
        <v>965</v>
      </c>
      <c r="D822" s="18" t="s">
        <v>77</v>
      </c>
      <c r="E822" s="76" t="e" vm="186">
        <v>#VALUE!</v>
      </c>
      <c r="F822" s="18">
        <v>15581</v>
      </c>
      <c r="G822" s="19" t="s">
        <v>976</v>
      </c>
      <c r="H822" s="18">
        <v>35</v>
      </c>
      <c r="I822" s="18" t="s">
        <v>48</v>
      </c>
    </row>
    <row r="823" spans="1:9" ht="45" customHeight="1" x14ac:dyDescent="0.2">
      <c r="A823" s="18" t="s">
        <v>44</v>
      </c>
      <c r="B823" s="19" t="s">
        <v>959</v>
      </c>
      <c r="C823" s="19" t="s">
        <v>965</v>
      </c>
      <c r="D823" s="18" t="s">
        <v>77</v>
      </c>
      <c r="E823" s="23" t="e" vm="187">
        <v>#VALUE!</v>
      </c>
      <c r="F823" s="18">
        <v>15582</v>
      </c>
      <c r="G823" s="19" t="s">
        <v>977</v>
      </c>
      <c r="H823" s="18">
        <v>1</v>
      </c>
      <c r="I823" s="18" t="s">
        <v>146</v>
      </c>
    </row>
    <row r="824" spans="1:9" ht="32.25" customHeight="1" x14ac:dyDescent="0.2">
      <c r="A824" s="18" t="s">
        <v>44</v>
      </c>
      <c r="B824" s="19" t="s">
        <v>959</v>
      </c>
      <c r="C824" s="19" t="s">
        <v>965</v>
      </c>
      <c r="D824" s="18" t="s">
        <v>978</v>
      </c>
      <c r="E824" s="76" t="e" vm="188">
        <v>#VALUE!</v>
      </c>
      <c r="F824" s="18">
        <v>15580</v>
      </c>
      <c r="G824" s="19" t="s">
        <v>979</v>
      </c>
      <c r="H824" s="18">
        <v>1</v>
      </c>
      <c r="I824" s="18" t="s">
        <v>146</v>
      </c>
    </row>
    <row r="825" spans="1:9" ht="15.75" customHeight="1" x14ac:dyDescent="0.2">
      <c r="A825" s="18" t="s">
        <v>44</v>
      </c>
      <c r="B825" s="19" t="s">
        <v>959</v>
      </c>
      <c r="C825" s="19" t="s">
        <v>980</v>
      </c>
      <c r="D825" s="18" t="s">
        <v>77</v>
      </c>
      <c r="E825" s="120" t="e" vm="189">
        <v>#VALUE!</v>
      </c>
      <c r="F825" s="18">
        <v>63400</v>
      </c>
      <c r="G825" s="19" t="s">
        <v>981</v>
      </c>
      <c r="H825" s="18">
        <v>20</v>
      </c>
      <c r="I825" s="18" t="s">
        <v>48</v>
      </c>
    </row>
    <row r="826" spans="1:9" ht="15.75" customHeight="1" x14ac:dyDescent="0.2">
      <c r="A826" s="18" t="s">
        <v>44</v>
      </c>
      <c r="B826" s="19" t="s">
        <v>959</v>
      </c>
      <c r="C826" s="19" t="s">
        <v>980</v>
      </c>
      <c r="D826" s="18" t="s">
        <v>77</v>
      </c>
      <c r="E826" s="109"/>
      <c r="F826" s="18">
        <v>63401</v>
      </c>
      <c r="G826" s="19" t="s">
        <v>982</v>
      </c>
      <c r="H826" s="18">
        <v>10</v>
      </c>
      <c r="I826" s="18" t="s">
        <v>48</v>
      </c>
    </row>
    <row r="827" spans="1:9" ht="15.75" customHeight="1" x14ac:dyDescent="0.2">
      <c r="A827" s="18" t="s">
        <v>44</v>
      </c>
      <c r="B827" s="19" t="s">
        <v>959</v>
      </c>
      <c r="C827" s="19" t="s">
        <v>980</v>
      </c>
      <c r="D827" s="18" t="s">
        <v>77</v>
      </c>
      <c r="E827" s="109"/>
      <c r="F827" s="18">
        <v>63402</v>
      </c>
      <c r="G827" s="19" t="s">
        <v>983</v>
      </c>
      <c r="H827" s="18">
        <v>7</v>
      </c>
      <c r="I827" s="18" t="s">
        <v>48</v>
      </c>
    </row>
    <row r="828" spans="1:9" ht="15.75" customHeight="1" x14ac:dyDescent="0.2">
      <c r="A828" s="18" t="s">
        <v>44</v>
      </c>
      <c r="B828" s="19" t="s">
        <v>959</v>
      </c>
      <c r="C828" s="19" t="s">
        <v>980</v>
      </c>
      <c r="D828" s="18" t="s">
        <v>77</v>
      </c>
      <c r="E828" s="109"/>
      <c r="F828" s="18">
        <v>63403</v>
      </c>
      <c r="G828" s="19" t="s">
        <v>984</v>
      </c>
      <c r="H828" s="18">
        <v>4</v>
      </c>
      <c r="I828" s="18" t="s">
        <v>48</v>
      </c>
    </row>
    <row r="829" spans="1:9" ht="15.75" customHeight="1" x14ac:dyDescent="0.2">
      <c r="A829" s="18" t="s">
        <v>44</v>
      </c>
      <c r="B829" s="19" t="s">
        <v>959</v>
      </c>
      <c r="C829" s="19" t="s">
        <v>980</v>
      </c>
      <c r="D829" s="18" t="s">
        <v>77</v>
      </c>
      <c r="E829" s="109"/>
      <c r="F829" s="18">
        <v>63404</v>
      </c>
      <c r="G829" s="19" t="s">
        <v>985</v>
      </c>
      <c r="H829" s="18">
        <v>1</v>
      </c>
      <c r="I829" s="18" t="s">
        <v>48</v>
      </c>
    </row>
    <row r="830" spans="1:9" ht="15.75" customHeight="1" x14ac:dyDescent="0.2">
      <c r="A830" s="18" t="s">
        <v>44</v>
      </c>
      <c r="B830" s="19" t="s">
        <v>959</v>
      </c>
      <c r="C830" s="19" t="s">
        <v>980</v>
      </c>
      <c r="D830" s="18" t="s">
        <v>77</v>
      </c>
      <c r="E830" s="109"/>
      <c r="F830" s="18">
        <v>63405</v>
      </c>
      <c r="G830" s="19" t="s">
        <v>986</v>
      </c>
      <c r="H830" s="18">
        <v>1</v>
      </c>
      <c r="I830" s="18" t="s">
        <v>48</v>
      </c>
    </row>
    <row r="831" spans="1:9" ht="15.75" customHeight="1" x14ac:dyDescent="0.2">
      <c r="A831" s="18" t="s">
        <v>44</v>
      </c>
      <c r="B831" s="19" t="s">
        <v>959</v>
      </c>
      <c r="C831" s="19" t="s">
        <v>980</v>
      </c>
      <c r="D831" s="18" t="s">
        <v>77</v>
      </c>
      <c r="E831" s="107" t="e" vm="190">
        <v>#VALUE!</v>
      </c>
      <c r="F831" s="18">
        <v>63410</v>
      </c>
      <c r="G831" s="19" t="s">
        <v>987</v>
      </c>
      <c r="H831" s="18">
        <v>15</v>
      </c>
      <c r="I831" s="18" t="s">
        <v>48</v>
      </c>
    </row>
    <row r="832" spans="1:9" ht="15.75" customHeight="1" x14ac:dyDescent="0.2">
      <c r="A832" s="18" t="s">
        <v>44</v>
      </c>
      <c r="B832" s="19" t="s">
        <v>959</v>
      </c>
      <c r="C832" s="19" t="s">
        <v>980</v>
      </c>
      <c r="D832" s="18" t="s">
        <v>77</v>
      </c>
      <c r="E832" s="108"/>
      <c r="F832" s="18">
        <v>63411</v>
      </c>
      <c r="G832" s="19" t="s">
        <v>988</v>
      </c>
      <c r="H832" s="18">
        <v>8</v>
      </c>
      <c r="I832" s="18" t="s">
        <v>48</v>
      </c>
    </row>
    <row r="833" spans="1:9" ht="15.75" customHeight="1" x14ac:dyDescent="0.2">
      <c r="A833" s="18" t="s">
        <v>44</v>
      </c>
      <c r="B833" s="19" t="s">
        <v>959</v>
      </c>
      <c r="C833" s="19" t="s">
        <v>980</v>
      </c>
      <c r="D833" s="18" t="s">
        <v>77</v>
      </c>
      <c r="E833" s="108"/>
      <c r="F833" s="18">
        <v>63412</v>
      </c>
      <c r="G833" s="19" t="s">
        <v>989</v>
      </c>
      <c r="H833" s="18">
        <v>8</v>
      </c>
      <c r="I833" s="18" t="s">
        <v>48</v>
      </c>
    </row>
    <row r="834" spans="1:9" ht="15.75" customHeight="1" x14ac:dyDescent="0.2">
      <c r="A834" s="18" t="s">
        <v>44</v>
      </c>
      <c r="B834" s="19" t="s">
        <v>959</v>
      </c>
      <c r="C834" s="19" t="s">
        <v>980</v>
      </c>
      <c r="D834" s="18" t="s">
        <v>77</v>
      </c>
      <c r="E834" s="108"/>
      <c r="F834" s="18">
        <v>63413</v>
      </c>
      <c r="G834" s="19" t="s">
        <v>990</v>
      </c>
      <c r="H834" s="18">
        <v>5</v>
      </c>
      <c r="I834" s="18" t="s">
        <v>48</v>
      </c>
    </row>
    <row r="835" spans="1:9" ht="15.75" customHeight="1" x14ac:dyDescent="0.2">
      <c r="A835" s="18" t="s">
        <v>44</v>
      </c>
      <c r="B835" s="19" t="s">
        <v>959</v>
      </c>
      <c r="C835" s="19" t="s">
        <v>980</v>
      </c>
      <c r="D835" s="18" t="s">
        <v>77</v>
      </c>
      <c r="E835" s="108"/>
      <c r="F835" s="18">
        <v>63414</v>
      </c>
      <c r="G835" s="19" t="s">
        <v>991</v>
      </c>
      <c r="H835" s="18">
        <v>4</v>
      </c>
      <c r="I835" s="18" t="s">
        <v>48</v>
      </c>
    </row>
    <row r="836" spans="1:9" ht="15.75" customHeight="1" x14ac:dyDescent="0.2">
      <c r="A836" s="18" t="s">
        <v>44</v>
      </c>
      <c r="B836" s="19" t="s">
        <v>959</v>
      </c>
      <c r="C836" s="19" t="s">
        <v>980</v>
      </c>
      <c r="D836" s="18" t="s">
        <v>77</v>
      </c>
      <c r="E836" s="108"/>
      <c r="F836" s="18">
        <v>63415</v>
      </c>
      <c r="G836" s="19" t="s">
        <v>992</v>
      </c>
      <c r="H836" s="18">
        <v>1</v>
      </c>
      <c r="I836" s="18" t="s">
        <v>48</v>
      </c>
    </row>
    <row r="837" spans="1:9" ht="15.75" customHeight="1" x14ac:dyDescent="0.2">
      <c r="A837" s="18" t="s">
        <v>44</v>
      </c>
      <c r="B837" s="19" t="s">
        <v>959</v>
      </c>
      <c r="C837" s="19" t="s">
        <v>980</v>
      </c>
      <c r="D837" s="18" t="s">
        <v>77</v>
      </c>
      <c r="E837" s="108"/>
      <c r="F837" s="18">
        <v>63416</v>
      </c>
      <c r="G837" s="19" t="s">
        <v>993</v>
      </c>
      <c r="H837" s="18">
        <v>1</v>
      </c>
      <c r="I837" s="18" t="s">
        <v>48</v>
      </c>
    </row>
    <row r="838" spans="1:9" ht="15.75" customHeight="1" x14ac:dyDescent="0.2">
      <c r="A838" s="18" t="s">
        <v>44</v>
      </c>
      <c r="B838" s="19" t="s">
        <v>959</v>
      </c>
      <c r="C838" s="19" t="s">
        <v>980</v>
      </c>
      <c r="D838" s="18" t="s">
        <v>77</v>
      </c>
      <c r="E838" s="108"/>
      <c r="F838" s="18">
        <v>63417</v>
      </c>
      <c r="G838" s="19" t="s">
        <v>994</v>
      </c>
      <c r="H838" s="18">
        <v>1</v>
      </c>
      <c r="I838" s="18" t="s">
        <v>48</v>
      </c>
    </row>
    <row r="839" spans="1:9" ht="15.75" customHeight="1" x14ac:dyDescent="0.2">
      <c r="A839" s="18" t="s">
        <v>44</v>
      </c>
      <c r="B839" s="19" t="s">
        <v>959</v>
      </c>
      <c r="C839" s="19" t="s">
        <v>980</v>
      </c>
      <c r="D839" s="18" t="s">
        <v>77</v>
      </c>
      <c r="E839" s="108"/>
      <c r="F839" s="18">
        <v>63418</v>
      </c>
      <c r="G839" s="19" t="s">
        <v>995</v>
      </c>
      <c r="H839" s="18">
        <v>1</v>
      </c>
      <c r="I839" s="18" t="s">
        <v>48</v>
      </c>
    </row>
    <row r="840" spans="1:9" ht="15.75" customHeight="1" x14ac:dyDescent="0.2">
      <c r="A840" s="18" t="s">
        <v>44</v>
      </c>
      <c r="B840" s="19" t="s">
        <v>959</v>
      </c>
      <c r="C840" s="19" t="s">
        <v>980</v>
      </c>
      <c r="D840" s="18" t="s">
        <v>77</v>
      </c>
      <c r="E840" s="108"/>
      <c r="F840" s="18">
        <v>63419</v>
      </c>
      <c r="G840" s="19" t="s">
        <v>996</v>
      </c>
      <c r="H840" s="18">
        <v>1</v>
      </c>
      <c r="I840" s="18" t="s">
        <v>48</v>
      </c>
    </row>
    <row r="841" spans="1:9" ht="15.75" customHeight="1" x14ac:dyDescent="0.2">
      <c r="A841" s="18" t="s">
        <v>44</v>
      </c>
      <c r="B841" s="19" t="s">
        <v>959</v>
      </c>
      <c r="C841" s="19" t="s">
        <v>980</v>
      </c>
      <c r="D841" s="18" t="s">
        <v>77</v>
      </c>
      <c r="E841" s="108"/>
      <c r="F841" s="18">
        <v>63420</v>
      </c>
      <c r="G841" s="19" t="s">
        <v>997</v>
      </c>
      <c r="H841" s="18">
        <v>1</v>
      </c>
      <c r="I841" s="18" t="s">
        <v>48</v>
      </c>
    </row>
    <row r="842" spans="1:9" ht="15.75" customHeight="1" x14ac:dyDescent="0.2">
      <c r="A842" s="18" t="s">
        <v>44</v>
      </c>
      <c r="B842" s="19" t="s">
        <v>959</v>
      </c>
      <c r="C842" s="19" t="s">
        <v>980</v>
      </c>
      <c r="D842" s="18" t="s">
        <v>77</v>
      </c>
      <c r="E842" s="108"/>
      <c r="F842" s="18">
        <v>63421</v>
      </c>
      <c r="G842" s="19" t="s">
        <v>998</v>
      </c>
      <c r="H842" s="18">
        <v>1</v>
      </c>
      <c r="I842" s="18" t="s">
        <v>48</v>
      </c>
    </row>
    <row r="843" spans="1:9" ht="15.75" customHeight="1" x14ac:dyDescent="0.2">
      <c r="A843" s="18" t="s">
        <v>44</v>
      </c>
      <c r="B843" s="19" t="s">
        <v>959</v>
      </c>
      <c r="C843" s="19" t="s">
        <v>980</v>
      </c>
      <c r="D843" s="18" t="s">
        <v>77</v>
      </c>
      <c r="E843" s="108"/>
      <c r="F843" s="18">
        <v>63422</v>
      </c>
      <c r="G843" s="19" t="s">
        <v>999</v>
      </c>
      <c r="H843" s="18">
        <v>1</v>
      </c>
      <c r="I843" s="18" t="s">
        <v>48</v>
      </c>
    </row>
    <row r="844" spans="1:9" ht="15.75" customHeight="1" x14ac:dyDescent="0.2">
      <c r="A844" s="18" t="s">
        <v>44</v>
      </c>
      <c r="B844" s="19" t="s">
        <v>959</v>
      </c>
      <c r="C844" s="19" t="s">
        <v>980</v>
      </c>
      <c r="D844" s="18" t="s">
        <v>77</v>
      </c>
      <c r="E844" s="107" t="e" vm="191">
        <v>#VALUE!</v>
      </c>
      <c r="F844" s="18">
        <v>63503</v>
      </c>
      <c r="G844" s="19" t="s">
        <v>1000</v>
      </c>
      <c r="H844" s="18">
        <v>30</v>
      </c>
      <c r="I844" s="18" t="s">
        <v>48</v>
      </c>
    </row>
    <row r="845" spans="1:9" ht="15.75" customHeight="1" x14ac:dyDescent="0.2">
      <c r="A845" s="18" t="s">
        <v>44</v>
      </c>
      <c r="B845" s="19" t="s">
        <v>959</v>
      </c>
      <c r="C845" s="19" t="s">
        <v>980</v>
      </c>
      <c r="D845" s="18" t="s">
        <v>77</v>
      </c>
      <c r="E845" s="108"/>
      <c r="F845" s="18">
        <v>63506</v>
      </c>
      <c r="G845" s="19" t="s">
        <v>1001</v>
      </c>
      <c r="H845" s="18">
        <v>20</v>
      </c>
      <c r="I845" s="18" t="s">
        <v>48</v>
      </c>
    </row>
    <row r="846" spans="1:9" ht="15.75" customHeight="1" x14ac:dyDescent="0.2">
      <c r="A846" s="18" t="s">
        <v>44</v>
      </c>
      <c r="B846" s="19" t="s">
        <v>959</v>
      </c>
      <c r="C846" s="19" t="s">
        <v>980</v>
      </c>
      <c r="D846" s="18" t="s">
        <v>77</v>
      </c>
      <c r="E846" s="108"/>
      <c r="F846" s="18">
        <v>63507</v>
      </c>
      <c r="G846" s="19" t="s">
        <v>1002</v>
      </c>
      <c r="H846" s="18">
        <v>20</v>
      </c>
      <c r="I846" s="18" t="s">
        <v>48</v>
      </c>
    </row>
    <row r="847" spans="1:9" ht="15.75" customHeight="1" x14ac:dyDescent="0.2">
      <c r="A847" s="18" t="s">
        <v>44</v>
      </c>
      <c r="B847" s="19" t="s">
        <v>959</v>
      </c>
      <c r="C847" s="19" t="s">
        <v>980</v>
      </c>
      <c r="D847" s="18" t="s">
        <v>77</v>
      </c>
      <c r="E847" s="108"/>
      <c r="F847" s="18">
        <v>63508</v>
      </c>
      <c r="G847" s="19" t="s">
        <v>1003</v>
      </c>
      <c r="H847" s="18">
        <v>20</v>
      </c>
      <c r="I847" s="18" t="s">
        <v>48</v>
      </c>
    </row>
    <row r="848" spans="1:9" ht="15.75" customHeight="1" x14ac:dyDescent="0.2">
      <c r="A848" s="18" t="s">
        <v>44</v>
      </c>
      <c r="B848" s="19" t="s">
        <v>959</v>
      </c>
      <c r="C848" s="19" t="s">
        <v>980</v>
      </c>
      <c r="D848" s="18" t="s">
        <v>77</v>
      </c>
      <c r="E848" s="108"/>
      <c r="F848" s="18">
        <v>63504</v>
      </c>
      <c r="G848" s="19" t="s">
        <v>1004</v>
      </c>
      <c r="H848" s="18">
        <v>20</v>
      </c>
      <c r="I848" s="18" t="s">
        <v>48</v>
      </c>
    </row>
    <row r="849" spans="1:9" ht="15.75" customHeight="1" x14ac:dyDescent="0.2">
      <c r="A849" s="18" t="s">
        <v>44</v>
      </c>
      <c r="B849" s="19" t="s">
        <v>959</v>
      </c>
      <c r="C849" s="19" t="s">
        <v>980</v>
      </c>
      <c r="D849" s="18" t="s">
        <v>77</v>
      </c>
      <c r="E849" s="108"/>
      <c r="F849" s="18">
        <v>63509</v>
      </c>
      <c r="G849" s="19" t="s">
        <v>1005</v>
      </c>
      <c r="H849" s="18">
        <v>20</v>
      </c>
      <c r="I849" s="18" t="s">
        <v>48</v>
      </c>
    </row>
    <row r="850" spans="1:9" ht="15.75" customHeight="1" x14ac:dyDescent="0.2">
      <c r="A850" s="18" t="s">
        <v>44</v>
      </c>
      <c r="B850" s="19" t="s">
        <v>959</v>
      </c>
      <c r="C850" s="19" t="s">
        <v>980</v>
      </c>
      <c r="D850" s="18" t="s">
        <v>77</v>
      </c>
      <c r="E850" s="108"/>
      <c r="F850" s="18">
        <v>63510</v>
      </c>
      <c r="G850" s="19" t="s">
        <v>1006</v>
      </c>
      <c r="H850" s="18">
        <v>10</v>
      </c>
      <c r="I850" s="18" t="s">
        <v>48</v>
      </c>
    </row>
    <row r="851" spans="1:9" ht="15.75" customHeight="1" x14ac:dyDescent="0.2">
      <c r="A851" s="18" t="s">
        <v>44</v>
      </c>
      <c r="B851" s="19" t="s">
        <v>959</v>
      </c>
      <c r="C851" s="19" t="s">
        <v>980</v>
      </c>
      <c r="D851" s="18" t="s">
        <v>77</v>
      </c>
      <c r="E851" s="108"/>
      <c r="F851" s="18">
        <v>63511</v>
      </c>
      <c r="G851" s="19" t="s">
        <v>1007</v>
      </c>
      <c r="H851" s="18">
        <v>10</v>
      </c>
      <c r="I851" s="18" t="s">
        <v>48</v>
      </c>
    </row>
    <row r="852" spans="1:9" ht="15.75" customHeight="1" x14ac:dyDescent="0.2">
      <c r="A852" s="18" t="s">
        <v>44</v>
      </c>
      <c r="B852" s="19" t="s">
        <v>959</v>
      </c>
      <c r="C852" s="19" t="s">
        <v>980</v>
      </c>
      <c r="D852" s="18" t="s">
        <v>77</v>
      </c>
      <c r="E852" s="108"/>
      <c r="F852" s="18">
        <v>63512</v>
      </c>
      <c r="G852" s="19" t="s">
        <v>1008</v>
      </c>
      <c r="H852" s="18">
        <v>10</v>
      </c>
      <c r="I852" s="18" t="s">
        <v>48</v>
      </c>
    </row>
    <row r="853" spans="1:9" ht="15.75" customHeight="1" x14ac:dyDescent="0.2">
      <c r="A853" s="18" t="s">
        <v>44</v>
      </c>
      <c r="B853" s="19" t="s">
        <v>959</v>
      </c>
      <c r="C853" s="19" t="s">
        <v>980</v>
      </c>
      <c r="D853" s="18" t="s">
        <v>77</v>
      </c>
      <c r="E853" s="108"/>
      <c r="F853" s="18">
        <v>63513</v>
      </c>
      <c r="G853" s="19" t="s">
        <v>1009</v>
      </c>
      <c r="H853" s="18">
        <v>10</v>
      </c>
      <c r="I853" s="18" t="s">
        <v>48</v>
      </c>
    </row>
    <row r="854" spans="1:9" ht="15.75" customHeight="1" x14ac:dyDescent="0.2">
      <c r="A854" s="18" t="s">
        <v>44</v>
      </c>
      <c r="B854" s="19" t="s">
        <v>959</v>
      </c>
      <c r="C854" s="19" t="s">
        <v>980</v>
      </c>
      <c r="D854" s="18" t="s">
        <v>77</v>
      </c>
      <c r="E854" s="108"/>
      <c r="F854" s="18">
        <v>63514</v>
      </c>
      <c r="G854" s="19" t="s">
        <v>1010</v>
      </c>
      <c r="H854" s="18">
        <v>6</v>
      </c>
      <c r="I854" s="18" t="s">
        <v>48</v>
      </c>
    </row>
    <row r="855" spans="1:9" ht="15.75" customHeight="1" x14ac:dyDescent="0.2">
      <c r="A855" s="18" t="s">
        <v>44</v>
      </c>
      <c r="B855" s="19" t="s">
        <v>959</v>
      </c>
      <c r="C855" s="19" t="s">
        <v>980</v>
      </c>
      <c r="D855" s="18" t="s">
        <v>77</v>
      </c>
      <c r="E855" s="108"/>
      <c r="F855" s="18">
        <v>63515</v>
      </c>
      <c r="G855" s="19" t="s">
        <v>1011</v>
      </c>
      <c r="H855" s="18">
        <v>6</v>
      </c>
      <c r="I855" s="18" t="s">
        <v>48</v>
      </c>
    </row>
    <row r="856" spans="1:9" ht="15.75" customHeight="1" x14ac:dyDescent="0.2">
      <c r="A856" s="18" t="s">
        <v>44</v>
      </c>
      <c r="B856" s="19" t="s">
        <v>959</v>
      </c>
      <c r="C856" s="19" t="s">
        <v>980</v>
      </c>
      <c r="D856" s="18" t="s">
        <v>77</v>
      </c>
      <c r="E856" s="108"/>
      <c r="F856" s="18">
        <v>63516</v>
      </c>
      <c r="G856" s="19" t="s">
        <v>1012</v>
      </c>
      <c r="H856" s="18">
        <v>6</v>
      </c>
      <c r="I856" s="18" t="s">
        <v>48</v>
      </c>
    </row>
    <row r="857" spans="1:9" ht="15.75" customHeight="1" x14ac:dyDescent="0.2">
      <c r="A857" s="18" t="s">
        <v>44</v>
      </c>
      <c r="B857" s="19" t="s">
        <v>959</v>
      </c>
      <c r="C857" s="19" t="s">
        <v>980</v>
      </c>
      <c r="D857" s="18" t="s">
        <v>77</v>
      </c>
      <c r="E857" s="108"/>
      <c r="F857" s="18">
        <v>63517</v>
      </c>
      <c r="G857" s="19" t="s">
        <v>1013</v>
      </c>
      <c r="H857" s="18">
        <v>1</v>
      </c>
      <c r="I857" s="18" t="s">
        <v>48</v>
      </c>
    </row>
    <row r="858" spans="1:9" ht="15.75" customHeight="1" x14ac:dyDescent="0.2">
      <c r="A858" s="18" t="s">
        <v>44</v>
      </c>
      <c r="B858" s="19" t="s">
        <v>959</v>
      </c>
      <c r="C858" s="19" t="s">
        <v>980</v>
      </c>
      <c r="D858" s="18" t="s">
        <v>77</v>
      </c>
      <c r="E858" s="108"/>
      <c r="F858" s="18">
        <v>63518</v>
      </c>
      <c r="G858" s="19" t="s">
        <v>1014</v>
      </c>
      <c r="H858" s="18">
        <v>1</v>
      </c>
      <c r="I858" s="18" t="s">
        <v>48</v>
      </c>
    </row>
    <row r="859" spans="1:9" ht="15.75" customHeight="1" x14ac:dyDescent="0.2">
      <c r="A859" s="18" t="s">
        <v>44</v>
      </c>
      <c r="B859" s="19" t="s">
        <v>959</v>
      </c>
      <c r="C859" s="19" t="s">
        <v>980</v>
      </c>
      <c r="D859" s="18" t="s">
        <v>77</v>
      </c>
      <c r="E859" s="108"/>
      <c r="F859" s="18">
        <v>63519</v>
      </c>
      <c r="G859" s="19" t="s">
        <v>1015</v>
      </c>
      <c r="H859" s="18">
        <v>1</v>
      </c>
      <c r="I859" s="18" t="s">
        <v>48</v>
      </c>
    </row>
    <row r="860" spans="1:9" ht="15.75" customHeight="1" x14ac:dyDescent="0.2">
      <c r="A860" s="18" t="s">
        <v>44</v>
      </c>
      <c r="B860" s="19" t="s">
        <v>959</v>
      </c>
      <c r="C860" s="19" t="s">
        <v>980</v>
      </c>
      <c r="D860" s="18" t="s">
        <v>77</v>
      </c>
      <c r="E860" s="108"/>
      <c r="F860" s="18">
        <v>63520</v>
      </c>
      <c r="G860" s="19" t="s">
        <v>1016</v>
      </c>
      <c r="H860" s="18">
        <v>1</v>
      </c>
      <c r="I860" s="18" t="s">
        <v>48</v>
      </c>
    </row>
    <row r="861" spans="1:9" ht="15.75" customHeight="1" x14ac:dyDescent="0.2">
      <c r="A861" s="18" t="s">
        <v>44</v>
      </c>
      <c r="B861" s="19" t="s">
        <v>959</v>
      </c>
      <c r="C861" s="19" t="s">
        <v>980</v>
      </c>
      <c r="D861" s="18" t="s">
        <v>77</v>
      </c>
      <c r="E861" s="108"/>
      <c r="F861" s="18">
        <v>63521</v>
      </c>
      <c r="G861" s="19" t="s">
        <v>1017</v>
      </c>
      <c r="H861" s="18">
        <v>1</v>
      </c>
      <c r="I861" s="18" t="s">
        <v>48</v>
      </c>
    </row>
    <row r="862" spans="1:9" ht="15.75" customHeight="1" x14ac:dyDescent="0.2">
      <c r="A862" s="18" t="s">
        <v>44</v>
      </c>
      <c r="B862" s="19" t="s">
        <v>959</v>
      </c>
      <c r="C862" s="19" t="s">
        <v>980</v>
      </c>
      <c r="D862" s="18" t="s">
        <v>77</v>
      </c>
      <c r="E862" s="108"/>
      <c r="F862" s="18">
        <v>63522</v>
      </c>
      <c r="G862" s="19" t="s">
        <v>1018</v>
      </c>
      <c r="H862" s="18">
        <v>1</v>
      </c>
      <c r="I862" s="18" t="s">
        <v>48</v>
      </c>
    </row>
    <row r="863" spans="1:9" ht="15.75" customHeight="1" x14ac:dyDescent="0.2">
      <c r="A863" s="18" t="s">
        <v>44</v>
      </c>
      <c r="B863" s="19" t="s">
        <v>959</v>
      </c>
      <c r="C863" s="19" t="s">
        <v>980</v>
      </c>
      <c r="D863" s="18" t="s">
        <v>77</v>
      </c>
      <c r="E863" s="107" t="e" vm="192">
        <v>#VALUE!</v>
      </c>
      <c r="F863" s="18">
        <v>63501</v>
      </c>
      <c r="G863" s="19" t="s">
        <v>1019</v>
      </c>
      <c r="H863" s="18">
        <v>30</v>
      </c>
      <c r="I863" s="18" t="s">
        <v>48</v>
      </c>
    </row>
    <row r="864" spans="1:9" ht="15.75" customHeight="1" x14ac:dyDescent="0.2">
      <c r="A864" s="18" t="s">
        <v>44</v>
      </c>
      <c r="B864" s="19" t="s">
        <v>959</v>
      </c>
      <c r="C864" s="19" t="s">
        <v>980</v>
      </c>
      <c r="D864" s="18" t="s">
        <v>77</v>
      </c>
      <c r="E864" s="108"/>
      <c r="F864" s="18">
        <v>63530</v>
      </c>
      <c r="G864" s="19" t="s">
        <v>1020</v>
      </c>
      <c r="H864" s="18">
        <v>30</v>
      </c>
      <c r="I864" s="18" t="s">
        <v>48</v>
      </c>
    </row>
    <row r="865" spans="1:9" ht="15.75" customHeight="1" x14ac:dyDescent="0.2">
      <c r="A865" s="18" t="s">
        <v>44</v>
      </c>
      <c r="B865" s="19" t="s">
        <v>959</v>
      </c>
      <c r="C865" s="19" t="s">
        <v>980</v>
      </c>
      <c r="D865" s="18" t="s">
        <v>77</v>
      </c>
      <c r="E865" s="108"/>
      <c r="F865" s="18">
        <v>63531</v>
      </c>
      <c r="G865" s="19" t="s">
        <v>1021</v>
      </c>
      <c r="H865" s="18">
        <v>30</v>
      </c>
      <c r="I865" s="18" t="s">
        <v>48</v>
      </c>
    </row>
    <row r="866" spans="1:9" ht="15.75" customHeight="1" x14ac:dyDescent="0.2">
      <c r="A866" s="18" t="s">
        <v>44</v>
      </c>
      <c r="B866" s="19" t="s">
        <v>959</v>
      </c>
      <c r="C866" s="19" t="s">
        <v>980</v>
      </c>
      <c r="D866" s="18" t="s">
        <v>77</v>
      </c>
      <c r="E866" s="108"/>
      <c r="F866" s="18">
        <v>63532</v>
      </c>
      <c r="G866" s="19" t="s">
        <v>1022</v>
      </c>
      <c r="H866" s="18">
        <v>20</v>
      </c>
      <c r="I866" s="18" t="s">
        <v>48</v>
      </c>
    </row>
    <row r="867" spans="1:9" ht="15.75" customHeight="1" x14ac:dyDescent="0.2">
      <c r="A867" s="18" t="s">
        <v>44</v>
      </c>
      <c r="B867" s="19" t="s">
        <v>959</v>
      </c>
      <c r="C867" s="19" t="s">
        <v>980</v>
      </c>
      <c r="D867" s="18" t="s">
        <v>77</v>
      </c>
      <c r="E867" s="108"/>
      <c r="F867" s="18">
        <v>63502</v>
      </c>
      <c r="G867" s="19" t="s">
        <v>1023</v>
      </c>
      <c r="H867" s="18">
        <v>20</v>
      </c>
      <c r="I867" s="18" t="s">
        <v>48</v>
      </c>
    </row>
    <row r="868" spans="1:9" ht="15.75" customHeight="1" x14ac:dyDescent="0.2">
      <c r="A868" s="18" t="s">
        <v>44</v>
      </c>
      <c r="B868" s="19" t="s">
        <v>959</v>
      </c>
      <c r="C868" s="19" t="s">
        <v>980</v>
      </c>
      <c r="D868" s="18" t="s">
        <v>77</v>
      </c>
      <c r="E868" s="108"/>
      <c r="F868" s="18">
        <v>63533</v>
      </c>
      <c r="G868" s="19" t="s">
        <v>1024</v>
      </c>
      <c r="H868" s="18">
        <v>20</v>
      </c>
      <c r="I868" s="18" t="s">
        <v>48</v>
      </c>
    </row>
    <row r="869" spans="1:9" ht="15.75" customHeight="1" x14ac:dyDescent="0.2">
      <c r="A869" s="18" t="s">
        <v>44</v>
      </c>
      <c r="B869" s="19" t="s">
        <v>959</v>
      </c>
      <c r="C869" s="19" t="s">
        <v>980</v>
      </c>
      <c r="D869" s="18" t="s">
        <v>77</v>
      </c>
      <c r="E869" s="108"/>
      <c r="F869" s="18">
        <v>63534</v>
      </c>
      <c r="G869" s="19" t="s">
        <v>1025</v>
      </c>
      <c r="H869" s="18">
        <v>10</v>
      </c>
      <c r="I869" s="18" t="s">
        <v>48</v>
      </c>
    </row>
    <row r="870" spans="1:9" ht="15.75" customHeight="1" x14ac:dyDescent="0.2">
      <c r="A870" s="18" t="s">
        <v>44</v>
      </c>
      <c r="B870" s="19" t="s">
        <v>959</v>
      </c>
      <c r="C870" s="19" t="s">
        <v>980</v>
      </c>
      <c r="D870" s="18" t="s">
        <v>77</v>
      </c>
      <c r="E870" s="108"/>
      <c r="F870" s="18">
        <v>63535</v>
      </c>
      <c r="G870" s="19" t="s">
        <v>1026</v>
      </c>
      <c r="H870" s="18">
        <v>10</v>
      </c>
      <c r="I870" s="18" t="s">
        <v>48</v>
      </c>
    </row>
    <row r="871" spans="1:9" ht="15.75" customHeight="1" x14ac:dyDescent="0.2">
      <c r="A871" s="18" t="s">
        <v>44</v>
      </c>
      <c r="B871" s="19" t="s">
        <v>959</v>
      </c>
      <c r="C871" s="19" t="s">
        <v>980</v>
      </c>
      <c r="D871" s="18" t="s">
        <v>77</v>
      </c>
      <c r="E871" s="108"/>
      <c r="F871" s="18">
        <v>63536</v>
      </c>
      <c r="G871" s="19" t="s">
        <v>1027</v>
      </c>
      <c r="H871" s="18">
        <v>10</v>
      </c>
      <c r="I871" s="18" t="s">
        <v>48</v>
      </c>
    </row>
    <row r="872" spans="1:9" ht="15.75" customHeight="1" x14ac:dyDescent="0.2">
      <c r="A872" s="18" t="s">
        <v>44</v>
      </c>
      <c r="B872" s="19" t="s">
        <v>959</v>
      </c>
      <c r="C872" s="19" t="s">
        <v>980</v>
      </c>
      <c r="D872" s="18" t="s">
        <v>77</v>
      </c>
      <c r="E872" s="108"/>
      <c r="F872" s="18">
        <v>63537</v>
      </c>
      <c r="G872" s="19" t="s">
        <v>1028</v>
      </c>
      <c r="H872" s="18">
        <v>10</v>
      </c>
      <c r="I872" s="18" t="s">
        <v>48</v>
      </c>
    </row>
    <row r="873" spans="1:9" ht="15.75" customHeight="1" x14ac:dyDescent="0.2">
      <c r="A873" s="18" t="s">
        <v>44</v>
      </c>
      <c r="B873" s="19" t="s">
        <v>959</v>
      </c>
      <c r="C873" s="19" t="s">
        <v>980</v>
      </c>
      <c r="D873" s="18" t="s">
        <v>77</v>
      </c>
      <c r="E873" s="108"/>
      <c r="F873" s="18">
        <v>63538</v>
      </c>
      <c r="G873" s="19" t="s">
        <v>1029</v>
      </c>
      <c r="H873" s="18">
        <v>6</v>
      </c>
      <c r="I873" s="18" t="s">
        <v>48</v>
      </c>
    </row>
    <row r="874" spans="1:9" ht="15.75" customHeight="1" x14ac:dyDescent="0.2">
      <c r="A874" s="18" t="s">
        <v>44</v>
      </c>
      <c r="B874" s="19" t="s">
        <v>959</v>
      </c>
      <c r="C874" s="19" t="s">
        <v>980</v>
      </c>
      <c r="D874" s="18" t="s">
        <v>77</v>
      </c>
      <c r="E874" s="108"/>
      <c r="F874" s="18">
        <v>63539</v>
      </c>
      <c r="G874" s="19" t="s">
        <v>1030</v>
      </c>
      <c r="H874" s="18">
        <v>6</v>
      </c>
      <c r="I874" s="18" t="s">
        <v>48</v>
      </c>
    </row>
    <row r="875" spans="1:9" ht="15.75" customHeight="1" x14ac:dyDescent="0.2">
      <c r="A875" s="18" t="s">
        <v>44</v>
      </c>
      <c r="B875" s="19" t="s">
        <v>959</v>
      </c>
      <c r="C875" s="19" t="s">
        <v>980</v>
      </c>
      <c r="D875" s="18" t="s">
        <v>77</v>
      </c>
      <c r="E875" s="108"/>
      <c r="F875" s="18">
        <v>63540</v>
      </c>
      <c r="G875" s="19" t="s">
        <v>1031</v>
      </c>
      <c r="H875" s="18">
        <v>6</v>
      </c>
      <c r="I875" s="18" t="s">
        <v>48</v>
      </c>
    </row>
    <row r="876" spans="1:9" ht="15.75" customHeight="1" x14ac:dyDescent="0.2">
      <c r="A876" s="18" t="s">
        <v>44</v>
      </c>
      <c r="B876" s="19" t="s">
        <v>959</v>
      </c>
      <c r="C876" s="19" t="s">
        <v>980</v>
      </c>
      <c r="D876" s="18" t="s">
        <v>77</v>
      </c>
      <c r="E876" s="108"/>
      <c r="F876" s="18">
        <v>63541</v>
      </c>
      <c r="G876" s="19" t="s">
        <v>1032</v>
      </c>
      <c r="H876" s="18">
        <v>1</v>
      </c>
      <c r="I876" s="18" t="s">
        <v>48</v>
      </c>
    </row>
    <row r="877" spans="1:9" ht="15.75" customHeight="1" x14ac:dyDescent="0.2">
      <c r="A877" s="18" t="s">
        <v>44</v>
      </c>
      <c r="B877" s="19" t="s">
        <v>959</v>
      </c>
      <c r="C877" s="19" t="s">
        <v>980</v>
      </c>
      <c r="D877" s="18" t="s">
        <v>77</v>
      </c>
      <c r="E877" s="108"/>
      <c r="F877" s="18">
        <v>63542</v>
      </c>
      <c r="G877" s="19" t="s">
        <v>1033</v>
      </c>
      <c r="H877" s="18">
        <v>1</v>
      </c>
      <c r="I877" s="18" t="s">
        <v>48</v>
      </c>
    </row>
    <row r="878" spans="1:9" ht="15.75" customHeight="1" x14ac:dyDescent="0.2">
      <c r="A878" s="18" t="s">
        <v>44</v>
      </c>
      <c r="B878" s="19" t="s">
        <v>959</v>
      </c>
      <c r="C878" s="19" t="s">
        <v>980</v>
      </c>
      <c r="D878" s="18" t="s">
        <v>77</v>
      </c>
      <c r="E878" s="108"/>
      <c r="F878" s="18">
        <v>63543</v>
      </c>
      <c r="G878" s="19" t="s">
        <v>1034</v>
      </c>
      <c r="H878" s="18">
        <v>1</v>
      </c>
      <c r="I878" s="18" t="s">
        <v>48</v>
      </c>
    </row>
    <row r="879" spans="1:9" ht="15.75" customHeight="1" x14ac:dyDescent="0.2">
      <c r="A879" s="18" t="s">
        <v>44</v>
      </c>
      <c r="B879" s="19" t="s">
        <v>959</v>
      </c>
      <c r="C879" s="19" t="s">
        <v>980</v>
      </c>
      <c r="D879" s="18" t="s">
        <v>77</v>
      </c>
      <c r="E879" s="108"/>
      <c r="F879" s="18">
        <v>63544</v>
      </c>
      <c r="G879" s="19" t="s">
        <v>1035</v>
      </c>
      <c r="H879" s="18">
        <v>1</v>
      </c>
      <c r="I879" s="18" t="s">
        <v>48</v>
      </c>
    </row>
    <row r="880" spans="1:9" ht="15.75" customHeight="1" x14ac:dyDescent="0.2">
      <c r="A880" s="18" t="s">
        <v>44</v>
      </c>
      <c r="B880" s="19" t="s">
        <v>959</v>
      </c>
      <c r="C880" s="19" t="s">
        <v>980</v>
      </c>
      <c r="D880" s="18" t="s">
        <v>77</v>
      </c>
      <c r="E880" s="108"/>
      <c r="F880" s="18">
        <v>63545</v>
      </c>
      <c r="G880" s="19" t="s">
        <v>1036</v>
      </c>
      <c r="H880" s="18">
        <v>1</v>
      </c>
      <c r="I880" s="18" t="s">
        <v>48</v>
      </c>
    </row>
    <row r="881" spans="1:9" ht="15.75" customHeight="1" x14ac:dyDescent="0.2">
      <c r="A881" s="18" t="s">
        <v>44</v>
      </c>
      <c r="B881" s="19" t="s">
        <v>959</v>
      </c>
      <c r="C881" s="19" t="s">
        <v>980</v>
      </c>
      <c r="D881" s="18" t="s">
        <v>77</v>
      </c>
      <c r="E881" s="108"/>
      <c r="F881" s="18">
        <v>63546</v>
      </c>
      <c r="G881" s="19" t="s">
        <v>1037</v>
      </c>
      <c r="H881" s="18">
        <v>1</v>
      </c>
      <c r="I881" s="18" t="s">
        <v>48</v>
      </c>
    </row>
    <row r="882" spans="1:9" ht="15.75" customHeight="1" x14ac:dyDescent="0.2">
      <c r="A882" s="18" t="s">
        <v>44</v>
      </c>
      <c r="B882" s="19" t="s">
        <v>959</v>
      </c>
      <c r="C882" s="19" t="s">
        <v>980</v>
      </c>
      <c r="D882" s="18" t="s">
        <v>77</v>
      </c>
      <c r="E882" s="108"/>
      <c r="F882" s="18">
        <v>63547</v>
      </c>
      <c r="G882" s="19" t="s">
        <v>1038</v>
      </c>
      <c r="H882" s="18">
        <v>1</v>
      </c>
      <c r="I882" s="18" t="s">
        <v>48</v>
      </c>
    </row>
    <row r="883" spans="1:9" ht="15.75" customHeight="1" x14ac:dyDescent="0.2">
      <c r="A883" s="18" t="s">
        <v>44</v>
      </c>
      <c r="B883" s="19" t="s">
        <v>959</v>
      </c>
      <c r="C883" s="19" t="s">
        <v>980</v>
      </c>
      <c r="D883" s="18" t="s">
        <v>77</v>
      </c>
      <c r="E883" s="108"/>
      <c r="F883" s="18">
        <v>63548</v>
      </c>
      <c r="G883" s="19" t="s">
        <v>1039</v>
      </c>
      <c r="H883" s="18">
        <v>1</v>
      </c>
      <c r="I883" s="18" t="s">
        <v>48</v>
      </c>
    </row>
    <row r="884" spans="1:9" ht="15.75" customHeight="1" x14ac:dyDescent="0.2">
      <c r="A884" s="18" t="s">
        <v>44</v>
      </c>
      <c r="B884" s="19" t="s">
        <v>959</v>
      </c>
      <c r="C884" s="19" t="s">
        <v>980</v>
      </c>
      <c r="D884" s="18" t="s">
        <v>77</v>
      </c>
      <c r="E884" s="107" t="e" vm="193">
        <v>#VALUE!</v>
      </c>
      <c r="F884" s="18">
        <v>63560</v>
      </c>
      <c r="G884" s="19" t="s">
        <v>1040</v>
      </c>
      <c r="H884" s="18">
        <v>30</v>
      </c>
      <c r="I884" s="18" t="s">
        <v>48</v>
      </c>
    </row>
    <row r="885" spans="1:9" ht="15.75" customHeight="1" x14ac:dyDescent="0.2">
      <c r="A885" s="18" t="s">
        <v>44</v>
      </c>
      <c r="B885" s="19" t="s">
        <v>959</v>
      </c>
      <c r="C885" s="19" t="s">
        <v>980</v>
      </c>
      <c r="D885" s="18" t="s">
        <v>77</v>
      </c>
      <c r="E885" s="108"/>
      <c r="F885" s="18">
        <v>63561</v>
      </c>
      <c r="G885" s="19" t="s">
        <v>1041</v>
      </c>
      <c r="H885" s="18">
        <v>20</v>
      </c>
      <c r="I885" s="18" t="s">
        <v>48</v>
      </c>
    </row>
    <row r="886" spans="1:9" ht="15.75" customHeight="1" x14ac:dyDescent="0.2">
      <c r="A886" s="18" t="s">
        <v>44</v>
      </c>
      <c r="B886" s="19" t="s">
        <v>959</v>
      </c>
      <c r="C886" s="19" t="s">
        <v>980</v>
      </c>
      <c r="D886" s="18" t="s">
        <v>77</v>
      </c>
      <c r="E886" s="108"/>
      <c r="F886" s="18">
        <v>63562</v>
      </c>
      <c r="G886" s="19" t="s">
        <v>1042</v>
      </c>
      <c r="H886" s="18">
        <v>10</v>
      </c>
      <c r="I886" s="18" t="s">
        <v>48</v>
      </c>
    </row>
    <row r="887" spans="1:9" ht="15.75" customHeight="1" x14ac:dyDescent="0.2">
      <c r="A887" s="18" t="s">
        <v>44</v>
      </c>
      <c r="B887" s="19" t="s">
        <v>959</v>
      </c>
      <c r="C887" s="19" t="s">
        <v>980</v>
      </c>
      <c r="D887" s="18" t="s">
        <v>77</v>
      </c>
      <c r="E887" s="108"/>
      <c r="F887" s="18">
        <v>63563</v>
      </c>
      <c r="G887" s="19" t="s">
        <v>1043</v>
      </c>
      <c r="H887" s="18">
        <v>8</v>
      </c>
      <c r="I887" s="18" t="s">
        <v>48</v>
      </c>
    </row>
    <row r="888" spans="1:9" ht="15.75" customHeight="1" x14ac:dyDescent="0.2">
      <c r="A888" s="18" t="s">
        <v>44</v>
      </c>
      <c r="B888" s="19" t="s">
        <v>959</v>
      </c>
      <c r="C888" s="19" t="s">
        <v>980</v>
      </c>
      <c r="D888" s="18" t="s">
        <v>77</v>
      </c>
      <c r="E888" s="108"/>
      <c r="F888" s="18">
        <v>63564</v>
      </c>
      <c r="G888" s="19" t="s">
        <v>1044</v>
      </c>
      <c r="H888" s="18">
        <v>1</v>
      </c>
      <c r="I888" s="18" t="s">
        <v>48</v>
      </c>
    </row>
    <row r="889" spans="1:9" ht="15.75" customHeight="1" x14ac:dyDescent="0.2">
      <c r="A889" s="18" t="s">
        <v>44</v>
      </c>
      <c r="B889" s="19" t="s">
        <v>959</v>
      </c>
      <c r="C889" s="19" t="s">
        <v>980</v>
      </c>
      <c r="D889" s="18" t="s">
        <v>77</v>
      </c>
      <c r="E889" s="108"/>
      <c r="F889" s="18">
        <v>63565</v>
      </c>
      <c r="G889" s="19" t="s">
        <v>1045</v>
      </c>
      <c r="H889" s="18">
        <v>1</v>
      </c>
      <c r="I889" s="18" t="s">
        <v>48</v>
      </c>
    </row>
    <row r="890" spans="1:9" ht="15.75" customHeight="1" x14ac:dyDescent="0.2">
      <c r="A890" s="18" t="s">
        <v>44</v>
      </c>
      <c r="B890" s="19" t="s">
        <v>959</v>
      </c>
      <c r="C890" s="19" t="s">
        <v>980</v>
      </c>
      <c r="D890" s="18" t="s">
        <v>77</v>
      </c>
      <c r="E890" s="107" t="e" vm="194">
        <v>#VALUE!</v>
      </c>
      <c r="F890" s="18">
        <v>63570</v>
      </c>
      <c r="G890" s="19" t="s">
        <v>1046</v>
      </c>
      <c r="H890" s="18">
        <v>10</v>
      </c>
      <c r="I890" s="18" t="s">
        <v>48</v>
      </c>
    </row>
    <row r="891" spans="1:9" ht="15.75" customHeight="1" x14ac:dyDescent="0.2">
      <c r="A891" s="18" t="s">
        <v>44</v>
      </c>
      <c r="B891" s="19" t="s">
        <v>959</v>
      </c>
      <c r="C891" s="19" t="s">
        <v>980</v>
      </c>
      <c r="D891" s="18" t="s">
        <v>77</v>
      </c>
      <c r="E891" s="108"/>
      <c r="F891" s="18">
        <v>63571</v>
      </c>
      <c r="G891" s="19" t="s">
        <v>1047</v>
      </c>
      <c r="H891" s="18">
        <v>6</v>
      </c>
      <c r="I891" s="18" t="s">
        <v>48</v>
      </c>
    </row>
    <row r="892" spans="1:9" ht="15.75" customHeight="1" x14ac:dyDescent="0.2">
      <c r="A892" s="18" t="s">
        <v>44</v>
      </c>
      <c r="B892" s="19" t="s">
        <v>959</v>
      </c>
      <c r="C892" s="19" t="s">
        <v>980</v>
      </c>
      <c r="D892" s="18" t="s">
        <v>77</v>
      </c>
      <c r="E892" s="108"/>
      <c r="F892" s="18">
        <v>63572</v>
      </c>
      <c r="G892" s="19" t="s">
        <v>1048</v>
      </c>
      <c r="H892" s="18">
        <v>4</v>
      </c>
      <c r="I892" s="18" t="s">
        <v>48</v>
      </c>
    </row>
    <row r="893" spans="1:9" ht="15.75" customHeight="1" x14ac:dyDescent="0.2">
      <c r="A893" s="18" t="s">
        <v>44</v>
      </c>
      <c r="B893" s="19" t="s">
        <v>959</v>
      </c>
      <c r="C893" s="19" t="s">
        <v>980</v>
      </c>
      <c r="D893" s="18" t="s">
        <v>77</v>
      </c>
      <c r="E893" s="108"/>
      <c r="F893" s="18">
        <v>63573</v>
      </c>
      <c r="G893" s="19" t="s">
        <v>1049</v>
      </c>
      <c r="H893" s="18">
        <v>2</v>
      </c>
      <c r="I893" s="18" t="s">
        <v>48</v>
      </c>
    </row>
    <row r="894" spans="1:9" ht="15.75" customHeight="1" x14ac:dyDescent="0.2">
      <c r="A894" s="18" t="s">
        <v>44</v>
      </c>
      <c r="B894" s="19" t="s">
        <v>959</v>
      </c>
      <c r="C894" s="19" t="s">
        <v>980</v>
      </c>
      <c r="D894" s="18" t="s">
        <v>77</v>
      </c>
      <c r="E894" s="108"/>
      <c r="F894" s="18">
        <v>63574</v>
      </c>
      <c r="G894" s="19" t="s">
        <v>1050</v>
      </c>
      <c r="H894" s="18">
        <v>1</v>
      </c>
      <c r="I894" s="18" t="s">
        <v>48</v>
      </c>
    </row>
    <row r="895" spans="1:9" ht="15.75" customHeight="1" x14ac:dyDescent="0.2">
      <c r="A895" s="18" t="s">
        <v>44</v>
      </c>
      <c r="B895" s="19" t="s">
        <v>959</v>
      </c>
      <c r="C895" s="19" t="s">
        <v>980</v>
      </c>
      <c r="D895" s="18" t="s">
        <v>77</v>
      </c>
      <c r="E895" s="108"/>
      <c r="F895" s="18">
        <v>63575</v>
      </c>
      <c r="G895" s="19" t="s">
        <v>1051</v>
      </c>
      <c r="H895" s="18">
        <v>1</v>
      </c>
      <c r="I895" s="18" t="s">
        <v>48</v>
      </c>
    </row>
    <row r="896" spans="1:9" ht="15.75" customHeight="1" x14ac:dyDescent="0.2">
      <c r="A896" s="18" t="s">
        <v>44</v>
      </c>
      <c r="B896" s="19" t="s">
        <v>959</v>
      </c>
      <c r="C896" s="19" t="s">
        <v>980</v>
      </c>
      <c r="D896" s="18" t="s">
        <v>77</v>
      </c>
      <c r="E896" s="107" t="e" vm="195">
        <v>#VALUE!</v>
      </c>
      <c r="F896" s="18">
        <v>63580</v>
      </c>
      <c r="G896" s="19" t="s">
        <v>1052</v>
      </c>
      <c r="H896" s="18">
        <v>6</v>
      </c>
      <c r="I896" s="18" t="s">
        <v>48</v>
      </c>
    </row>
    <row r="897" spans="1:9" ht="15.75" customHeight="1" x14ac:dyDescent="0.2">
      <c r="A897" s="18" t="s">
        <v>44</v>
      </c>
      <c r="B897" s="19" t="s">
        <v>959</v>
      </c>
      <c r="C897" s="19" t="s">
        <v>980</v>
      </c>
      <c r="D897" s="18" t="s">
        <v>77</v>
      </c>
      <c r="E897" s="108"/>
      <c r="F897" s="18">
        <v>63581</v>
      </c>
      <c r="G897" s="19" t="s">
        <v>1053</v>
      </c>
      <c r="H897" s="18">
        <v>5</v>
      </c>
      <c r="I897" s="18" t="s">
        <v>48</v>
      </c>
    </row>
    <row r="898" spans="1:9" ht="15.75" customHeight="1" x14ac:dyDescent="0.2">
      <c r="A898" s="18" t="s">
        <v>44</v>
      </c>
      <c r="B898" s="19" t="s">
        <v>959</v>
      </c>
      <c r="C898" s="19" t="s">
        <v>980</v>
      </c>
      <c r="D898" s="18" t="s">
        <v>77</v>
      </c>
      <c r="E898" s="108"/>
      <c r="F898" s="18">
        <v>63582</v>
      </c>
      <c r="G898" s="19" t="s">
        <v>1054</v>
      </c>
      <c r="H898" s="18">
        <v>5</v>
      </c>
      <c r="I898" s="18" t="s">
        <v>48</v>
      </c>
    </row>
    <row r="899" spans="1:9" ht="15.75" customHeight="1" x14ac:dyDescent="0.2">
      <c r="A899" s="18" t="s">
        <v>44</v>
      </c>
      <c r="B899" s="19" t="s">
        <v>959</v>
      </c>
      <c r="C899" s="19" t="s">
        <v>980</v>
      </c>
      <c r="D899" s="18" t="s">
        <v>77</v>
      </c>
      <c r="E899" s="108"/>
      <c r="F899" s="18">
        <v>63583</v>
      </c>
      <c r="G899" s="19" t="s">
        <v>1055</v>
      </c>
      <c r="H899" s="18">
        <v>2</v>
      </c>
      <c r="I899" s="18" t="s">
        <v>48</v>
      </c>
    </row>
    <row r="900" spans="1:9" ht="15.75" customHeight="1" x14ac:dyDescent="0.2">
      <c r="A900" s="18" t="s">
        <v>44</v>
      </c>
      <c r="B900" s="19" t="s">
        <v>959</v>
      </c>
      <c r="C900" s="19" t="s">
        <v>980</v>
      </c>
      <c r="D900" s="18" t="s">
        <v>77</v>
      </c>
      <c r="E900" s="108"/>
      <c r="F900" s="18">
        <v>63584</v>
      </c>
      <c r="G900" s="19" t="s">
        <v>1056</v>
      </c>
      <c r="H900" s="18">
        <v>2</v>
      </c>
      <c r="I900" s="18" t="s">
        <v>48</v>
      </c>
    </row>
    <row r="901" spans="1:9" ht="15.75" customHeight="1" x14ac:dyDescent="0.2">
      <c r="A901" s="18" t="s">
        <v>44</v>
      </c>
      <c r="B901" s="19" t="s">
        <v>959</v>
      </c>
      <c r="C901" s="19" t="s">
        <v>980</v>
      </c>
      <c r="D901" s="18" t="s">
        <v>77</v>
      </c>
      <c r="E901" s="108"/>
      <c r="F901" s="18">
        <v>63585</v>
      </c>
      <c r="G901" s="19" t="s">
        <v>1057</v>
      </c>
      <c r="H901" s="18">
        <v>1</v>
      </c>
      <c r="I901" s="18" t="s">
        <v>48</v>
      </c>
    </row>
    <row r="902" spans="1:9" ht="15.75" customHeight="1" x14ac:dyDescent="0.2">
      <c r="A902" s="18" t="s">
        <v>44</v>
      </c>
      <c r="B902" s="19" t="s">
        <v>959</v>
      </c>
      <c r="C902" s="19" t="s">
        <v>980</v>
      </c>
      <c r="D902" s="18" t="s">
        <v>77</v>
      </c>
      <c r="E902" s="108"/>
      <c r="F902" s="18">
        <v>63586</v>
      </c>
      <c r="G902" s="19" t="s">
        <v>1058</v>
      </c>
      <c r="H902" s="18">
        <v>1</v>
      </c>
      <c r="I902" s="18" t="s">
        <v>48</v>
      </c>
    </row>
    <row r="903" spans="1:9" ht="15.75" customHeight="1" x14ac:dyDescent="0.2">
      <c r="A903" s="18" t="s">
        <v>44</v>
      </c>
      <c r="B903" s="19" t="s">
        <v>959</v>
      </c>
      <c r="C903" s="19" t="s">
        <v>980</v>
      </c>
      <c r="D903" s="18" t="s">
        <v>77</v>
      </c>
      <c r="E903" s="108"/>
      <c r="F903" s="18">
        <v>63587</v>
      </c>
      <c r="G903" s="19" t="s">
        <v>1059</v>
      </c>
      <c r="H903" s="18">
        <v>1</v>
      </c>
      <c r="I903" s="18" t="s">
        <v>48</v>
      </c>
    </row>
    <row r="904" spans="1:9" ht="15.75" customHeight="1" x14ac:dyDescent="0.2">
      <c r="A904" s="18" t="s">
        <v>44</v>
      </c>
      <c r="B904" s="19" t="s">
        <v>959</v>
      </c>
      <c r="C904" s="19" t="s">
        <v>980</v>
      </c>
      <c r="D904" s="18" t="s">
        <v>77</v>
      </c>
      <c r="E904" s="108"/>
      <c r="F904" s="18">
        <v>63588</v>
      </c>
      <c r="G904" s="19" t="s">
        <v>1060</v>
      </c>
      <c r="H904" s="18">
        <v>1</v>
      </c>
      <c r="I904" s="18" t="s">
        <v>48</v>
      </c>
    </row>
    <row r="905" spans="1:9" ht="15.75" customHeight="1" x14ac:dyDescent="0.2">
      <c r="A905" s="18" t="s">
        <v>44</v>
      </c>
      <c r="B905" s="19" t="s">
        <v>959</v>
      </c>
      <c r="C905" s="19" t="s">
        <v>980</v>
      </c>
      <c r="D905" s="18" t="s">
        <v>77</v>
      </c>
      <c r="E905" s="108"/>
      <c r="F905" s="18">
        <v>63589</v>
      </c>
      <c r="G905" s="19" t="s">
        <v>1061</v>
      </c>
      <c r="H905" s="18">
        <v>1</v>
      </c>
      <c r="I905" s="18" t="s">
        <v>48</v>
      </c>
    </row>
    <row r="906" spans="1:9" ht="15.75" customHeight="1" x14ac:dyDescent="0.2">
      <c r="A906" s="18" t="s">
        <v>44</v>
      </c>
      <c r="B906" s="19" t="s">
        <v>959</v>
      </c>
      <c r="C906" s="19" t="s">
        <v>980</v>
      </c>
      <c r="D906" s="18" t="s">
        <v>77</v>
      </c>
      <c r="E906" s="108"/>
      <c r="F906" s="18">
        <v>63590</v>
      </c>
      <c r="G906" s="19" t="s">
        <v>1062</v>
      </c>
      <c r="H906" s="18">
        <v>1</v>
      </c>
      <c r="I906" s="18" t="s">
        <v>48</v>
      </c>
    </row>
    <row r="907" spans="1:9" ht="15.75" customHeight="1" x14ac:dyDescent="0.2">
      <c r="A907" s="18" t="s">
        <v>44</v>
      </c>
      <c r="B907" s="19" t="s">
        <v>959</v>
      </c>
      <c r="C907" s="19" t="s">
        <v>980</v>
      </c>
      <c r="D907" s="18" t="s">
        <v>77</v>
      </c>
      <c r="E907" s="108"/>
      <c r="F907" s="18">
        <v>63591</v>
      </c>
      <c r="G907" s="19" t="s">
        <v>1063</v>
      </c>
      <c r="H907" s="18">
        <v>1</v>
      </c>
      <c r="I907" s="18" t="s">
        <v>48</v>
      </c>
    </row>
    <row r="908" spans="1:9" ht="15.75" customHeight="1" x14ac:dyDescent="0.2">
      <c r="A908" s="18" t="s">
        <v>44</v>
      </c>
      <c r="B908" s="19" t="s">
        <v>959</v>
      </c>
      <c r="C908" s="19" t="s">
        <v>980</v>
      </c>
      <c r="D908" s="18" t="s">
        <v>77</v>
      </c>
      <c r="E908" s="107" t="e" vm="196">
        <v>#VALUE!</v>
      </c>
      <c r="F908" s="18">
        <v>63700</v>
      </c>
      <c r="G908" s="19" t="s">
        <v>1064</v>
      </c>
      <c r="H908" s="18">
        <v>15</v>
      </c>
      <c r="I908" s="18" t="s">
        <v>48</v>
      </c>
    </row>
    <row r="909" spans="1:9" ht="15.75" customHeight="1" x14ac:dyDescent="0.2">
      <c r="A909" s="18" t="s">
        <v>44</v>
      </c>
      <c r="B909" s="19" t="s">
        <v>959</v>
      </c>
      <c r="C909" s="19" t="s">
        <v>980</v>
      </c>
      <c r="D909" s="18" t="s">
        <v>77</v>
      </c>
      <c r="E909" s="108"/>
      <c r="F909" s="18">
        <v>63701</v>
      </c>
      <c r="G909" s="19" t="s">
        <v>1065</v>
      </c>
      <c r="H909" s="18">
        <v>15</v>
      </c>
      <c r="I909" s="18" t="s">
        <v>48</v>
      </c>
    </row>
    <row r="910" spans="1:9" ht="15.75" customHeight="1" x14ac:dyDescent="0.2">
      <c r="A910" s="18" t="s">
        <v>44</v>
      </c>
      <c r="B910" s="19" t="s">
        <v>959</v>
      </c>
      <c r="C910" s="19" t="s">
        <v>980</v>
      </c>
      <c r="D910" s="18" t="s">
        <v>77</v>
      </c>
      <c r="E910" s="108"/>
      <c r="F910" s="18">
        <v>63702</v>
      </c>
      <c r="G910" s="19" t="s">
        <v>1066</v>
      </c>
      <c r="H910" s="18">
        <v>15</v>
      </c>
      <c r="I910" s="18" t="s">
        <v>48</v>
      </c>
    </row>
    <row r="911" spans="1:9" ht="15.75" customHeight="1" x14ac:dyDescent="0.2">
      <c r="A911" s="18" t="s">
        <v>44</v>
      </c>
      <c r="B911" s="19" t="s">
        <v>959</v>
      </c>
      <c r="C911" s="19" t="s">
        <v>980</v>
      </c>
      <c r="D911" s="18" t="s">
        <v>77</v>
      </c>
      <c r="E911" s="108"/>
      <c r="F911" s="18">
        <v>63703</v>
      </c>
      <c r="G911" s="19" t="s">
        <v>1067</v>
      </c>
      <c r="H911" s="18">
        <v>8</v>
      </c>
      <c r="I911" s="18" t="s">
        <v>48</v>
      </c>
    </row>
    <row r="912" spans="1:9" ht="15.75" customHeight="1" x14ac:dyDescent="0.2">
      <c r="A912" s="18" t="s">
        <v>44</v>
      </c>
      <c r="B912" s="19" t="s">
        <v>959</v>
      </c>
      <c r="C912" s="19" t="s">
        <v>980</v>
      </c>
      <c r="D912" s="18" t="s">
        <v>77</v>
      </c>
      <c r="E912" s="108"/>
      <c r="F912" s="18">
        <v>63704</v>
      </c>
      <c r="G912" s="19" t="s">
        <v>1068</v>
      </c>
      <c r="H912" s="18">
        <v>8</v>
      </c>
      <c r="I912" s="18" t="s">
        <v>48</v>
      </c>
    </row>
    <row r="913" spans="1:9" ht="15.75" customHeight="1" x14ac:dyDescent="0.2">
      <c r="A913" s="18" t="s">
        <v>44</v>
      </c>
      <c r="B913" s="19" t="s">
        <v>959</v>
      </c>
      <c r="C913" s="19" t="s">
        <v>980</v>
      </c>
      <c r="D913" s="18" t="s">
        <v>77</v>
      </c>
      <c r="E913" s="108"/>
      <c r="F913" s="18">
        <v>63705</v>
      </c>
      <c r="G913" s="19" t="s">
        <v>1069</v>
      </c>
      <c r="H913" s="18">
        <v>8</v>
      </c>
      <c r="I913" s="18" t="s">
        <v>48</v>
      </c>
    </row>
    <row r="914" spans="1:9" ht="15.75" customHeight="1" x14ac:dyDescent="0.2">
      <c r="A914" s="18" t="s">
        <v>44</v>
      </c>
      <c r="B914" s="19" t="s">
        <v>959</v>
      </c>
      <c r="C914" s="19" t="s">
        <v>980</v>
      </c>
      <c r="D914" s="18" t="s">
        <v>77</v>
      </c>
      <c r="E914" s="108"/>
      <c r="F914" s="18">
        <v>63706</v>
      </c>
      <c r="G914" s="19" t="s">
        <v>1070</v>
      </c>
      <c r="H914" s="18">
        <v>5</v>
      </c>
      <c r="I914" s="18" t="s">
        <v>48</v>
      </c>
    </row>
    <row r="915" spans="1:9" ht="15.75" customHeight="1" x14ac:dyDescent="0.2">
      <c r="A915" s="18" t="s">
        <v>44</v>
      </c>
      <c r="B915" s="19" t="s">
        <v>959</v>
      </c>
      <c r="C915" s="19" t="s">
        <v>980</v>
      </c>
      <c r="D915" s="18" t="s">
        <v>77</v>
      </c>
      <c r="E915" s="108"/>
      <c r="F915" s="18">
        <v>63707</v>
      </c>
      <c r="G915" s="19" t="s">
        <v>1071</v>
      </c>
      <c r="H915" s="18">
        <v>5</v>
      </c>
      <c r="I915" s="18" t="s">
        <v>48</v>
      </c>
    </row>
    <row r="916" spans="1:9" ht="15.75" customHeight="1" x14ac:dyDescent="0.2">
      <c r="A916" s="18" t="s">
        <v>44</v>
      </c>
      <c r="B916" s="19" t="s">
        <v>959</v>
      </c>
      <c r="C916" s="19" t="s">
        <v>980</v>
      </c>
      <c r="D916" s="18" t="s">
        <v>77</v>
      </c>
      <c r="E916" s="108"/>
      <c r="F916" s="18">
        <v>63708</v>
      </c>
      <c r="G916" s="19" t="s">
        <v>1072</v>
      </c>
      <c r="H916" s="18">
        <v>5</v>
      </c>
      <c r="I916" s="18" t="s">
        <v>48</v>
      </c>
    </row>
    <row r="917" spans="1:9" ht="15.75" customHeight="1" x14ac:dyDescent="0.2">
      <c r="A917" s="18" t="s">
        <v>44</v>
      </c>
      <c r="B917" s="19" t="s">
        <v>959</v>
      </c>
      <c r="C917" s="19" t="s">
        <v>980</v>
      </c>
      <c r="D917" s="18" t="s">
        <v>77</v>
      </c>
      <c r="E917" s="108"/>
      <c r="F917" s="18">
        <v>63709</v>
      </c>
      <c r="G917" s="19" t="s">
        <v>1073</v>
      </c>
      <c r="H917" s="18">
        <v>2</v>
      </c>
      <c r="I917" s="18" t="s">
        <v>48</v>
      </c>
    </row>
    <row r="918" spans="1:9" ht="15.75" customHeight="1" x14ac:dyDescent="0.2">
      <c r="A918" s="18" t="s">
        <v>44</v>
      </c>
      <c r="B918" s="19" t="s">
        <v>959</v>
      </c>
      <c r="C918" s="19" t="s">
        <v>980</v>
      </c>
      <c r="D918" s="18" t="s">
        <v>77</v>
      </c>
      <c r="E918" s="108"/>
      <c r="F918" s="18">
        <v>63741</v>
      </c>
      <c r="G918" s="19" t="s">
        <v>1074</v>
      </c>
      <c r="H918" s="18">
        <v>2</v>
      </c>
      <c r="I918" s="18" t="s">
        <v>48</v>
      </c>
    </row>
    <row r="919" spans="1:9" ht="15.75" customHeight="1" x14ac:dyDescent="0.2">
      <c r="A919" s="18" t="s">
        <v>44</v>
      </c>
      <c r="B919" s="19" t="s">
        <v>959</v>
      </c>
      <c r="C919" s="19" t="s">
        <v>980</v>
      </c>
      <c r="D919" s="18" t="s">
        <v>77</v>
      </c>
      <c r="E919" s="108"/>
      <c r="F919" s="18">
        <v>63710</v>
      </c>
      <c r="G919" s="19" t="s">
        <v>1075</v>
      </c>
      <c r="H919" s="18">
        <v>1</v>
      </c>
      <c r="I919" s="18" t="s">
        <v>48</v>
      </c>
    </row>
    <row r="920" spans="1:9" ht="15.75" customHeight="1" x14ac:dyDescent="0.2">
      <c r="A920" s="18" t="s">
        <v>44</v>
      </c>
      <c r="B920" s="19" t="s">
        <v>959</v>
      </c>
      <c r="C920" s="19" t="s">
        <v>980</v>
      </c>
      <c r="D920" s="18" t="s">
        <v>77</v>
      </c>
      <c r="E920" s="108"/>
      <c r="F920" s="18">
        <v>63711</v>
      </c>
      <c r="G920" s="19" t="s">
        <v>1076</v>
      </c>
      <c r="H920" s="18">
        <v>1</v>
      </c>
      <c r="I920" s="18" t="s">
        <v>48</v>
      </c>
    </row>
    <row r="921" spans="1:9" ht="15.75" customHeight="1" x14ac:dyDescent="0.2">
      <c r="A921" s="18" t="s">
        <v>44</v>
      </c>
      <c r="B921" s="19" t="s">
        <v>959</v>
      </c>
      <c r="C921" s="19" t="s">
        <v>980</v>
      </c>
      <c r="D921" s="18" t="s">
        <v>77</v>
      </c>
      <c r="E921" s="108"/>
      <c r="F921" s="18">
        <v>63712</v>
      </c>
      <c r="G921" s="19" t="s">
        <v>1077</v>
      </c>
      <c r="H921" s="18">
        <v>1</v>
      </c>
      <c r="I921" s="18" t="s">
        <v>48</v>
      </c>
    </row>
    <row r="922" spans="1:9" ht="15.75" customHeight="1" x14ac:dyDescent="0.2">
      <c r="A922" s="18" t="s">
        <v>44</v>
      </c>
      <c r="B922" s="19" t="s">
        <v>959</v>
      </c>
      <c r="C922" s="19" t="s">
        <v>980</v>
      </c>
      <c r="D922" s="18" t="s">
        <v>77</v>
      </c>
      <c r="E922" s="108"/>
      <c r="F922" s="18">
        <v>63713</v>
      </c>
      <c r="G922" s="19" t="s">
        <v>1078</v>
      </c>
      <c r="H922" s="18">
        <v>1</v>
      </c>
      <c r="I922" s="18" t="s">
        <v>48</v>
      </c>
    </row>
    <row r="923" spans="1:9" ht="15.75" customHeight="1" x14ac:dyDescent="0.2">
      <c r="A923" s="18" t="s">
        <v>44</v>
      </c>
      <c r="B923" s="19" t="s">
        <v>959</v>
      </c>
      <c r="C923" s="19" t="s">
        <v>980</v>
      </c>
      <c r="D923" s="18" t="s">
        <v>77</v>
      </c>
      <c r="E923" s="107" t="e" vm="197">
        <v>#VALUE!</v>
      </c>
      <c r="F923" s="18">
        <v>63714</v>
      </c>
      <c r="G923" s="19" t="s">
        <v>1079</v>
      </c>
      <c r="H923" s="18">
        <v>15</v>
      </c>
      <c r="I923" s="18" t="s">
        <v>48</v>
      </c>
    </row>
    <row r="924" spans="1:9" ht="15.75" customHeight="1" x14ac:dyDescent="0.2">
      <c r="A924" s="18" t="s">
        <v>44</v>
      </c>
      <c r="B924" s="19" t="s">
        <v>959</v>
      </c>
      <c r="C924" s="19" t="s">
        <v>980</v>
      </c>
      <c r="D924" s="18" t="s">
        <v>77</v>
      </c>
      <c r="E924" s="108"/>
      <c r="F924" s="18">
        <v>63715</v>
      </c>
      <c r="G924" s="19" t="s">
        <v>1080</v>
      </c>
      <c r="H924" s="18">
        <v>15</v>
      </c>
      <c r="I924" s="18" t="s">
        <v>48</v>
      </c>
    </row>
    <row r="925" spans="1:9" ht="15.75" customHeight="1" x14ac:dyDescent="0.2">
      <c r="A925" s="18" t="s">
        <v>44</v>
      </c>
      <c r="B925" s="19" t="s">
        <v>959</v>
      </c>
      <c r="C925" s="19" t="s">
        <v>980</v>
      </c>
      <c r="D925" s="18" t="s">
        <v>77</v>
      </c>
      <c r="E925" s="108"/>
      <c r="F925" s="18">
        <v>63716</v>
      </c>
      <c r="G925" s="19" t="s">
        <v>1081</v>
      </c>
      <c r="H925" s="18">
        <v>15</v>
      </c>
      <c r="I925" s="18" t="s">
        <v>48</v>
      </c>
    </row>
    <row r="926" spans="1:9" ht="15.75" customHeight="1" x14ac:dyDescent="0.2">
      <c r="A926" s="18" t="s">
        <v>44</v>
      </c>
      <c r="B926" s="19" t="s">
        <v>959</v>
      </c>
      <c r="C926" s="19" t="s">
        <v>980</v>
      </c>
      <c r="D926" s="18" t="s">
        <v>77</v>
      </c>
      <c r="E926" s="108"/>
      <c r="F926" s="18">
        <v>63717</v>
      </c>
      <c r="G926" s="19" t="s">
        <v>1082</v>
      </c>
      <c r="H926" s="18">
        <v>8</v>
      </c>
      <c r="I926" s="18" t="s">
        <v>48</v>
      </c>
    </row>
    <row r="927" spans="1:9" ht="15.75" customHeight="1" x14ac:dyDescent="0.2">
      <c r="A927" s="18" t="s">
        <v>44</v>
      </c>
      <c r="B927" s="19" t="s">
        <v>959</v>
      </c>
      <c r="C927" s="19" t="s">
        <v>980</v>
      </c>
      <c r="D927" s="18" t="s">
        <v>77</v>
      </c>
      <c r="E927" s="108"/>
      <c r="F927" s="18">
        <v>63718</v>
      </c>
      <c r="G927" s="19" t="s">
        <v>1083</v>
      </c>
      <c r="H927" s="18">
        <v>8</v>
      </c>
      <c r="I927" s="18" t="s">
        <v>48</v>
      </c>
    </row>
    <row r="928" spans="1:9" ht="15.75" customHeight="1" x14ac:dyDescent="0.2">
      <c r="A928" s="18" t="s">
        <v>44</v>
      </c>
      <c r="B928" s="19" t="s">
        <v>959</v>
      </c>
      <c r="C928" s="19" t="s">
        <v>980</v>
      </c>
      <c r="D928" s="18" t="s">
        <v>77</v>
      </c>
      <c r="E928" s="108"/>
      <c r="F928" s="18">
        <v>63719</v>
      </c>
      <c r="G928" s="19" t="s">
        <v>1084</v>
      </c>
      <c r="H928" s="18">
        <v>8</v>
      </c>
      <c r="I928" s="18" t="s">
        <v>48</v>
      </c>
    </row>
    <row r="929" spans="1:9" ht="15.75" customHeight="1" x14ac:dyDescent="0.2">
      <c r="A929" s="18" t="s">
        <v>44</v>
      </c>
      <c r="B929" s="19" t="s">
        <v>959</v>
      </c>
      <c r="C929" s="19" t="s">
        <v>980</v>
      </c>
      <c r="D929" s="18" t="s">
        <v>77</v>
      </c>
      <c r="E929" s="108"/>
      <c r="F929" s="18">
        <v>63720</v>
      </c>
      <c r="G929" s="19" t="s">
        <v>1085</v>
      </c>
      <c r="H929" s="18">
        <v>5</v>
      </c>
      <c r="I929" s="18" t="s">
        <v>48</v>
      </c>
    </row>
    <row r="930" spans="1:9" ht="15.75" customHeight="1" x14ac:dyDescent="0.2">
      <c r="A930" s="18" t="s">
        <v>44</v>
      </c>
      <c r="B930" s="19" t="s">
        <v>959</v>
      </c>
      <c r="C930" s="19" t="s">
        <v>980</v>
      </c>
      <c r="D930" s="18" t="s">
        <v>77</v>
      </c>
      <c r="E930" s="108"/>
      <c r="F930" s="18">
        <v>63721</v>
      </c>
      <c r="G930" s="19" t="s">
        <v>1086</v>
      </c>
      <c r="H930" s="18">
        <v>5</v>
      </c>
      <c r="I930" s="18" t="s">
        <v>48</v>
      </c>
    </row>
    <row r="931" spans="1:9" ht="15.75" customHeight="1" x14ac:dyDescent="0.2">
      <c r="A931" s="18" t="s">
        <v>44</v>
      </c>
      <c r="B931" s="19" t="s">
        <v>959</v>
      </c>
      <c r="C931" s="19" t="s">
        <v>980</v>
      </c>
      <c r="D931" s="18" t="s">
        <v>77</v>
      </c>
      <c r="E931" s="108"/>
      <c r="F931" s="18">
        <v>63722</v>
      </c>
      <c r="G931" s="19" t="s">
        <v>1087</v>
      </c>
      <c r="H931" s="18">
        <v>5</v>
      </c>
      <c r="I931" s="18" t="s">
        <v>48</v>
      </c>
    </row>
    <row r="932" spans="1:9" ht="15.75" customHeight="1" x14ac:dyDescent="0.2">
      <c r="A932" s="18" t="s">
        <v>44</v>
      </c>
      <c r="B932" s="19" t="s">
        <v>959</v>
      </c>
      <c r="C932" s="19" t="s">
        <v>980</v>
      </c>
      <c r="D932" s="18" t="s">
        <v>77</v>
      </c>
      <c r="E932" s="108"/>
      <c r="F932" s="18">
        <v>63723</v>
      </c>
      <c r="G932" s="19" t="s">
        <v>1088</v>
      </c>
      <c r="H932" s="18">
        <v>5</v>
      </c>
      <c r="I932" s="18" t="s">
        <v>48</v>
      </c>
    </row>
    <row r="933" spans="1:9" ht="15.75" customHeight="1" x14ac:dyDescent="0.2">
      <c r="A933" s="18" t="s">
        <v>44</v>
      </c>
      <c r="B933" s="19" t="s">
        <v>959</v>
      </c>
      <c r="C933" s="19" t="s">
        <v>980</v>
      </c>
      <c r="D933" s="18" t="s">
        <v>77</v>
      </c>
      <c r="E933" s="108"/>
      <c r="F933" s="18">
        <v>63724</v>
      </c>
      <c r="G933" s="19" t="s">
        <v>1089</v>
      </c>
      <c r="H933" s="18">
        <v>2</v>
      </c>
      <c r="I933" s="18" t="s">
        <v>48</v>
      </c>
    </row>
    <row r="934" spans="1:9" ht="15.75" customHeight="1" x14ac:dyDescent="0.2">
      <c r="A934" s="18" t="s">
        <v>44</v>
      </c>
      <c r="B934" s="19" t="s">
        <v>959</v>
      </c>
      <c r="C934" s="19" t="s">
        <v>980</v>
      </c>
      <c r="D934" s="18" t="s">
        <v>77</v>
      </c>
      <c r="E934" s="108"/>
      <c r="F934" s="18">
        <v>63725</v>
      </c>
      <c r="G934" s="19" t="s">
        <v>1090</v>
      </c>
      <c r="H934" s="18">
        <v>2</v>
      </c>
      <c r="I934" s="18" t="s">
        <v>48</v>
      </c>
    </row>
    <row r="935" spans="1:9" ht="15.75" customHeight="1" x14ac:dyDescent="0.2">
      <c r="A935" s="18" t="s">
        <v>44</v>
      </c>
      <c r="B935" s="19" t="s">
        <v>959</v>
      </c>
      <c r="C935" s="19" t="s">
        <v>980</v>
      </c>
      <c r="D935" s="18" t="s">
        <v>77</v>
      </c>
      <c r="E935" s="108"/>
      <c r="F935" s="18">
        <v>63726</v>
      </c>
      <c r="G935" s="19" t="s">
        <v>1091</v>
      </c>
      <c r="H935" s="18">
        <v>2</v>
      </c>
      <c r="I935" s="18" t="s">
        <v>48</v>
      </c>
    </row>
    <row r="936" spans="1:9" ht="15.75" customHeight="1" x14ac:dyDescent="0.2">
      <c r="A936" s="18" t="s">
        <v>44</v>
      </c>
      <c r="B936" s="19" t="s">
        <v>959</v>
      </c>
      <c r="C936" s="19" t="s">
        <v>980</v>
      </c>
      <c r="D936" s="18" t="s">
        <v>77</v>
      </c>
      <c r="E936" s="108"/>
      <c r="F936" s="18">
        <v>63727</v>
      </c>
      <c r="G936" s="19" t="s">
        <v>1092</v>
      </c>
      <c r="H936" s="18">
        <v>1</v>
      </c>
      <c r="I936" s="18" t="s">
        <v>48</v>
      </c>
    </row>
    <row r="937" spans="1:9" ht="15.75" customHeight="1" x14ac:dyDescent="0.2">
      <c r="A937" s="18" t="s">
        <v>44</v>
      </c>
      <c r="B937" s="19" t="s">
        <v>959</v>
      </c>
      <c r="C937" s="19" t="s">
        <v>980</v>
      </c>
      <c r="D937" s="18" t="s">
        <v>77</v>
      </c>
      <c r="E937" s="108"/>
      <c r="F937" s="18">
        <v>63728</v>
      </c>
      <c r="G937" s="19" t="s">
        <v>1093</v>
      </c>
      <c r="H937" s="18">
        <v>1</v>
      </c>
      <c r="I937" s="18" t="s">
        <v>48</v>
      </c>
    </row>
    <row r="938" spans="1:9" ht="15.75" customHeight="1" x14ac:dyDescent="0.2">
      <c r="A938" s="18" t="s">
        <v>44</v>
      </c>
      <c r="B938" s="19" t="s">
        <v>959</v>
      </c>
      <c r="C938" s="19" t="s">
        <v>980</v>
      </c>
      <c r="D938" s="18" t="s">
        <v>77</v>
      </c>
      <c r="E938" s="108"/>
      <c r="F938" s="18">
        <v>63729</v>
      </c>
      <c r="G938" s="19" t="s">
        <v>1094</v>
      </c>
      <c r="H938" s="18">
        <v>1</v>
      </c>
      <c r="I938" s="18" t="s">
        <v>48</v>
      </c>
    </row>
    <row r="939" spans="1:9" ht="15.75" customHeight="1" x14ac:dyDescent="0.2">
      <c r="A939" s="18" t="s">
        <v>44</v>
      </c>
      <c r="B939" s="19" t="s">
        <v>959</v>
      </c>
      <c r="C939" s="19" t="s">
        <v>980</v>
      </c>
      <c r="D939" s="18" t="s">
        <v>77</v>
      </c>
      <c r="E939" s="108"/>
      <c r="F939" s="18">
        <v>63730</v>
      </c>
      <c r="G939" s="19" t="s">
        <v>1095</v>
      </c>
      <c r="H939" s="18">
        <v>1</v>
      </c>
      <c r="I939" s="18" t="s">
        <v>48</v>
      </c>
    </row>
    <row r="940" spans="1:9" ht="15.75" customHeight="1" x14ac:dyDescent="0.2">
      <c r="A940" s="18" t="s">
        <v>44</v>
      </c>
      <c r="B940" s="19" t="s">
        <v>959</v>
      </c>
      <c r="C940" s="19" t="s">
        <v>980</v>
      </c>
      <c r="D940" s="18" t="s">
        <v>77</v>
      </c>
      <c r="E940" s="108"/>
      <c r="F940" s="18">
        <v>63731</v>
      </c>
      <c r="G940" s="19" t="s">
        <v>1096</v>
      </c>
      <c r="H940" s="18">
        <v>1</v>
      </c>
      <c r="I940" s="18" t="s">
        <v>48</v>
      </c>
    </row>
    <row r="941" spans="1:9" ht="15.75" customHeight="1" x14ac:dyDescent="0.2">
      <c r="A941" s="18" t="s">
        <v>44</v>
      </c>
      <c r="B941" s="19" t="s">
        <v>959</v>
      </c>
      <c r="C941" s="19" t="s">
        <v>980</v>
      </c>
      <c r="D941" s="18" t="s">
        <v>77</v>
      </c>
      <c r="E941" s="108"/>
      <c r="F941" s="18">
        <v>63732</v>
      </c>
      <c r="G941" s="19" t="s">
        <v>1097</v>
      </c>
      <c r="H941" s="18">
        <v>1</v>
      </c>
      <c r="I941" s="18" t="s">
        <v>48</v>
      </c>
    </row>
    <row r="942" spans="1:9" ht="15.75" customHeight="1" x14ac:dyDescent="0.2">
      <c r="A942" s="18" t="s">
        <v>44</v>
      </c>
      <c r="B942" s="19" t="s">
        <v>959</v>
      </c>
      <c r="C942" s="19" t="s">
        <v>980</v>
      </c>
      <c r="D942" s="18" t="s">
        <v>77</v>
      </c>
      <c r="E942" s="108"/>
      <c r="F942" s="18">
        <v>63733</v>
      </c>
      <c r="G942" s="19" t="s">
        <v>1098</v>
      </c>
      <c r="H942" s="18">
        <v>1</v>
      </c>
      <c r="I942" s="18" t="s">
        <v>48</v>
      </c>
    </row>
    <row r="943" spans="1:9" ht="15.75" customHeight="1" x14ac:dyDescent="0.2">
      <c r="A943" s="18" t="s">
        <v>44</v>
      </c>
      <c r="B943" s="19" t="s">
        <v>959</v>
      </c>
      <c r="C943" s="19" t="s">
        <v>980</v>
      </c>
      <c r="D943" s="18" t="s">
        <v>77</v>
      </c>
      <c r="E943" s="120" t="e" vm="198">
        <v>#VALUE!</v>
      </c>
      <c r="F943" s="18">
        <v>63301</v>
      </c>
      <c r="G943" s="19" t="s">
        <v>1099</v>
      </c>
      <c r="H943" s="18">
        <v>20</v>
      </c>
      <c r="I943" s="18" t="s">
        <v>48</v>
      </c>
    </row>
    <row r="944" spans="1:9" ht="15.75" customHeight="1" x14ac:dyDescent="0.2">
      <c r="A944" s="18" t="s">
        <v>44</v>
      </c>
      <c r="B944" s="19" t="s">
        <v>959</v>
      </c>
      <c r="C944" s="19" t="s">
        <v>980</v>
      </c>
      <c r="D944" s="18" t="s">
        <v>77</v>
      </c>
      <c r="E944" s="109"/>
      <c r="F944" s="18">
        <v>63302</v>
      </c>
      <c r="G944" s="19" t="s">
        <v>1100</v>
      </c>
      <c r="H944" s="18">
        <v>10</v>
      </c>
      <c r="I944" s="18" t="s">
        <v>48</v>
      </c>
    </row>
    <row r="945" spans="1:9" ht="15.75" customHeight="1" x14ac:dyDescent="0.2">
      <c r="A945" s="18" t="s">
        <v>44</v>
      </c>
      <c r="B945" s="19" t="s">
        <v>959</v>
      </c>
      <c r="C945" s="19" t="s">
        <v>980</v>
      </c>
      <c r="D945" s="18" t="s">
        <v>77</v>
      </c>
      <c r="E945" s="109"/>
      <c r="F945" s="18">
        <v>63303</v>
      </c>
      <c r="G945" s="19" t="s">
        <v>1101</v>
      </c>
      <c r="H945" s="18">
        <v>6</v>
      </c>
      <c r="I945" s="18" t="s">
        <v>48</v>
      </c>
    </row>
    <row r="946" spans="1:9" ht="15.75" customHeight="1" x14ac:dyDescent="0.2">
      <c r="A946" s="18" t="s">
        <v>44</v>
      </c>
      <c r="B946" s="19" t="s">
        <v>959</v>
      </c>
      <c r="C946" s="19" t="s">
        <v>980</v>
      </c>
      <c r="D946" s="18" t="s">
        <v>77</v>
      </c>
      <c r="E946" s="109"/>
      <c r="F946" s="18">
        <v>63305</v>
      </c>
      <c r="G946" s="19" t="s">
        <v>1102</v>
      </c>
      <c r="H946" s="18">
        <v>3</v>
      </c>
      <c r="I946" s="18" t="s">
        <v>48</v>
      </c>
    </row>
    <row r="947" spans="1:9" ht="15.75" customHeight="1" x14ac:dyDescent="0.2">
      <c r="A947" s="18" t="s">
        <v>44</v>
      </c>
      <c r="B947" s="19" t="s">
        <v>959</v>
      </c>
      <c r="C947" s="19" t="s">
        <v>980</v>
      </c>
      <c r="D947" s="18" t="s">
        <v>77</v>
      </c>
      <c r="E947" s="109"/>
      <c r="F947" s="18">
        <v>63306</v>
      </c>
      <c r="G947" s="19" t="s">
        <v>1103</v>
      </c>
      <c r="H947" s="18">
        <v>1</v>
      </c>
      <c r="I947" s="18" t="s">
        <v>48</v>
      </c>
    </row>
    <row r="948" spans="1:9" ht="15.75" customHeight="1" x14ac:dyDescent="0.2">
      <c r="A948" s="18" t="s">
        <v>44</v>
      </c>
      <c r="B948" s="19" t="s">
        <v>959</v>
      </c>
      <c r="C948" s="19" t="s">
        <v>980</v>
      </c>
      <c r="D948" s="18" t="s">
        <v>77</v>
      </c>
      <c r="E948" s="109"/>
      <c r="F948" s="18">
        <v>63307</v>
      </c>
      <c r="G948" s="19" t="s">
        <v>1104</v>
      </c>
      <c r="H948" s="18">
        <v>1</v>
      </c>
      <c r="I948" s="18" t="s">
        <v>48</v>
      </c>
    </row>
    <row r="949" spans="1:9" ht="15.75" customHeight="1" x14ac:dyDescent="0.2">
      <c r="A949" s="18" t="s">
        <v>44</v>
      </c>
      <c r="B949" s="19" t="s">
        <v>959</v>
      </c>
      <c r="C949" s="19" t="s">
        <v>980</v>
      </c>
      <c r="D949" s="18" t="s">
        <v>77</v>
      </c>
      <c r="E949" s="107" t="e" vm="199">
        <v>#VALUE!</v>
      </c>
      <c r="F949" s="18">
        <v>63310</v>
      </c>
      <c r="G949" s="19" t="s">
        <v>1105</v>
      </c>
      <c r="H949" s="18">
        <v>30</v>
      </c>
      <c r="I949" s="18" t="s">
        <v>48</v>
      </c>
    </row>
    <row r="950" spans="1:9" ht="15.75" customHeight="1" x14ac:dyDescent="0.2">
      <c r="A950" s="18" t="s">
        <v>44</v>
      </c>
      <c r="B950" s="19" t="s">
        <v>959</v>
      </c>
      <c r="C950" s="19" t="s">
        <v>980</v>
      </c>
      <c r="D950" s="18" t="s">
        <v>77</v>
      </c>
      <c r="E950" s="108"/>
      <c r="F950" s="18">
        <v>63311</v>
      </c>
      <c r="G950" s="19" t="s">
        <v>1106</v>
      </c>
      <c r="H950" s="18">
        <v>30</v>
      </c>
      <c r="I950" s="18" t="s">
        <v>48</v>
      </c>
    </row>
    <row r="951" spans="1:9" ht="15.75" customHeight="1" x14ac:dyDescent="0.2">
      <c r="A951" s="18" t="s">
        <v>44</v>
      </c>
      <c r="B951" s="19" t="s">
        <v>959</v>
      </c>
      <c r="C951" s="19" t="s">
        <v>980</v>
      </c>
      <c r="D951" s="18" t="s">
        <v>77</v>
      </c>
      <c r="E951" s="108"/>
      <c r="F951" s="18">
        <v>63312</v>
      </c>
      <c r="G951" s="19" t="s">
        <v>1107</v>
      </c>
      <c r="H951" s="18">
        <v>30</v>
      </c>
      <c r="I951" s="18" t="s">
        <v>48</v>
      </c>
    </row>
    <row r="952" spans="1:9" ht="15.75" customHeight="1" x14ac:dyDescent="0.2">
      <c r="A952" s="18" t="s">
        <v>44</v>
      </c>
      <c r="B952" s="19" t="s">
        <v>959</v>
      </c>
      <c r="C952" s="19" t="s">
        <v>980</v>
      </c>
      <c r="D952" s="18" t="s">
        <v>77</v>
      </c>
      <c r="E952" s="108"/>
      <c r="F952" s="18">
        <v>63313</v>
      </c>
      <c r="G952" s="19" t="s">
        <v>1108</v>
      </c>
      <c r="H952" s="18">
        <v>15</v>
      </c>
      <c r="I952" s="18" t="s">
        <v>48</v>
      </c>
    </row>
    <row r="953" spans="1:9" ht="15.75" customHeight="1" x14ac:dyDescent="0.2">
      <c r="A953" s="18" t="s">
        <v>44</v>
      </c>
      <c r="B953" s="19" t="s">
        <v>959</v>
      </c>
      <c r="C953" s="19" t="s">
        <v>980</v>
      </c>
      <c r="D953" s="18" t="s">
        <v>77</v>
      </c>
      <c r="E953" s="108"/>
      <c r="F953" s="18">
        <v>63314</v>
      </c>
      <c r="G953" s="19" t="s">
        <v>1109</v>
      </c>
      <c r="H953" s="18">
        <v>15</v>
      </c>
      <c r="I953" s="18" t="s">
        <v>48</v>
      </c>
    </row>
    <row r="954" spans="1:9" ht="15.75" customHeight="1" x14ac:dyDescent="0.2">
      <c r="A954" s="18" t="s">
        <v>44</v>
      </c>
      <c r="B954" s="19" t="s">
        <v>959</v>
      </c>
      <c r="C954" s="19" t="s">
        <v>980</v>
      </c>
      <c r="D954" s="18" t="s">
        <v>77</v>
      </c>
      <c r="E954" s="108"/>
      <c r="F954" s="18">
        <v>63315</v>
      </c>
      <c r="G954" s="19" t="s">
        <v>1110</v>
      </c>
      <c r="H954" s="18">
        <v>15</v>
      </c>
      <c r="I954" s="18" t="s">
        <v>48</v>
      </c>
    </row>
    <row r="955" spans="1:9" ht="15.75" customHeight="1" x14ac:dyDescent="0.2">
      <c r="A955" s="18" t="s">
        <v>44</v>
      </c>
      <c r="B955" s="19" t="s">
        <v>959</v>
      </c>
      <c r="C955" s="19" t="s">
        <v>980</v>
      </c>
      <c r="D955" s="18" t="s">
        <v>77</v>
      </c>
      <c r="E955" s="108"/>
      <c r="F955" s="18">
        <v>63316</v>
      </c>
      <c r="G955" s="19" t="s">
        <v>1111</v>
      </c>
      <c r="H955" s="18">
        <v>10</v>
      </c>
      <c r="I955" s="18" t="s">
        <v>48</v>
      </c>
    </row>
    <row r="956" spans="1:9" ht="15.75" customHeight="1" x14ac:dyDescent="0.2">
      <c r="A956" s="18" t="s">
        <v>44</v>
      </c>
      <c r="B956" s="19" t="s">
        <v>959</v>
      </c>
      <c r="C956" s="19" t="s">
        <v>980</v>
      </c>
      <c r="D956" s="18" t="s">
        <v>77</v>
      </c>
      <c r="E956" s="108"/>
      <c r="F956" s="18">
        <v>63317</v>
      </c>
      <c r="G956" s="19" t="s">
        <v>1112</v>
      </c>
      <c r="H956" s="18">
        <v>10</v>
      </c>
      <c r="I956" s="18" t="s">
        <v>48</v>
      </c>
    </row>
    <row r="957" spans="1:9" ht="15.75" customHeight="1" x14ac:dyDescent="0.2">
      <c r="A957" s="18" t="s">
        <v>44</v>
      </c>
      <c r="B957" s="19" t="s">
        <v>959</v>
      </c>
      <c r="C957" s="19" t="s">
        <v>980</v>
      </c>
      <c r="D957" s="18" t="s">
        <v>77</v>
      </c>
      <c r="E957" s="108"/>
      <c r="F957" s="18">
        <v>63318</v>
      </c>
      <c r="G957" s="19" t="s">
        <v>1113</v>
      </c>
      <c r="H957" s="18">
        <v>10</v>
      </c>
      <c r="I957" s="18" t="s">
        <v>48</v>
      </c>
    </row>
    <row r="958" spans="1:9" ht="15.75" customHeight="1" x14ac:dyDescent="0.2">
      <c r="A958" s="18" t="s">
        <v>44</v>
      </c>
      <c r="B958" s="19" t="s">
        <v>959</v>
      </c>
      <c r="C958" s="19" t="s">
        <v>980</v>
      </c>
      <c r="D958" s="18" t="s">
        <v>77</v>
      </c>
      <c r="E958" s="108"/>
      <c r="F958" s="18">
        <v>63319</v>
      </c>
      <c r="G958" s="19" t="s">
        <v>1114</v>
      </c>
      <c r="H958" s="18">
        <v>5</v>
      </c>
      <c r="I958" s="18" t="s">
        <v>48</v>
      </c>
    </row>
    <row r="959" spans="1:9" ht="15.75" customHeight="1" x14ac:dyDescent="0.2">
      <c r="A959" s="18" t="s">
        <v>44</v>
      </c>
      <c r="B959" s="19" t="s">
        <v>959</v>
      </c>
      <c r="C959" s="19" t="s">
        <v>980</v>
      </c>
      <c r="D959" s="18" t="s">
        <v>77</v>
      </c>
      <c r="E959" s="108"/>
      <c r="F959" s="18">
        <v>63320</v>
      </c>
      <c r="G959" s="19" t="s">
        <v>1115</v>
      </c>
      <c r="H959" s="18">
        <v>5</v>
      </c>
      <c r="I959" s="18" t="s">
        <v>48</v>
      </c>
    </row>
    <row r="960" spans="1:9" ht="15.75" customHeight="1" x14ac:dyDescent="0.2">
      <c r="A960" s="18" t="s">
        <v>44</v>
      </c>
      <c r="B960" s="19" t="s">
        <v>959</v>
      </c>
      <c r="C960" s="19" t="s">
        <v>980</v>
      </c>
      <c r="D960" s="18" t="s">
        <v>77</v>
      </c>
      <c r="E960" s="108"/>
      <c r="F960" s="18">
        <v>63321</v>
      </c>
      <c r="G960" s="19" t="s">
        <v>1116</v>
      </c>
      <c r="H960" s="18">
        <v>5</v>
      </c>
      <c r="I960" s="18" t="s">
        <v>48</v>
      </c>
    </row>
    <row r="961" spans="1:9" ht="15.75" customHeight="1" x14ac:dyDescent="0.2">
      <c r="A961" s="18" t="s">
        <v>44</v>
      </c>
      <c r="B961" s="19" t="s">
        <v>959</v>
      </c>
      <c r="C961" s="19" t="s">
        <v>980</v>
      </c>
      <c r="D961" s="18" t="s">
        <v>77</v>
      </c>
      <c r="E961" s="108"/>
      <c r="F961" s="18">
        <v>63322</v>
      </c>
      <c r="G961" s="19" t="s">
        <v>1117</v>
      </c>
      <c r="H961" s="18">
        <v>1</v>
      </c>
      <c r="I961" s="18" t="s">
        <v>48</v>
      </c>
    </row>
    <row r="962" spans="1:9" ht="15.75" customHeight="1" x14ac:dyDescent="0.2">
      <c r="A962" s="18" t="s">
        <v>44</v>
      </c>
      <c r="B962" s="19" t="s">
        <v>959</v>
      </c>
      <c r="C962" s="19" t="s">
        <v>980</v>
      </c>
      <c r="D962" s="18" t="s">
        <v>77</v>
      </c>
      <c r="E962" s="108"/>
      <c r="F962" s="18">
        <v>63323</v>
      </c>
      <c r="G962" s="19" t="s">
        <v>1118</v>
      </c>
      <c r="H962" s="18">
        <v>1</v>
      </c>
      <c r="I962" s="18" t="s">
        <v>48</v>
      </c>
    </row>
    <row r="963" spans="1:9" ht="15.75" customHeight="1" x14ac:dyDescent="0.2">
      <c r="A963" s="18" t="s">
        <v>44</v>
      </c>
      <c r="B963" s="19" t="s">
        <v>959</v>
      </c>
      <c r="C963" s="19" t="s">
        <v>980</v>
      </c>
      <c r="D963" s="18" t="s">
        <v>77</v>
      </c>
      <c r="E963" s="108"/>
      <c r="F963" s="18">
        <v>63324</v>
      </c>
      <c r="G963" s="19" t="s">
        <v>1119</v>
      </c>
      <c r="H963" s="18">
        <v>1</v>
      </c>
      <c r="I963" s="18" t="s">
        <v>48</v>
      </c>
    </row>
    <row r="964" spans="1:9" ht="15.75" customHeight="1" x14ac:dyDescent="0.2">
      <c r="A964" s="18" t="s">
        <v>44</v>
      </c>
      <c r="B964" s="19" t="s">
        <v>959</v>
      </c>
      <c r="C964" s="19" t="s">
        <v>980</v>
      </c>
      <c r="D964" s="18" t="s">
        <v>77</v>
      </c>
      <c r="E964" s="108"/>
      <c r="F964" s="18">
        <v>63325</v>
      </c>
      <c r="G964" s="19" t="s">
        <v>1120</v>
      </c>
      <c r="H964" s="18">
        <v>1</v>
      </c>
      <c r="I964" s="18" t="s">
        <v>48</v>
      </c>
    </row>
    <row r="965" spans="1:9" ht="15.75" customHeight="1" x14ac:dyDescent="0.2">
      <c r="A965" s="18" t="s">
        <v>44</v>
      </c>
      <c r="B965" s="19" t="s">
        <v>959</v>
      </c>
      <c r="C965" s="19" t="s">
        <v>980</v>
      </c>
      <c r="D965" s="18" t="s">
        <v>77</v>
      </c>
      <c r="E965" s="108"/>
      <c r="F965" s="18">
        <v>63326</v>
      </c>
      <c r="G965" s="19" t="s">
        <v>1121</v>
      </c>
      <c r="H965" s="18">
        <v>1</v>
      </c>
      <c r="I965" s="18" t="s">
        <v>48</v>
      </c>
    </row>
    <row r="966" spans="1:9" ht="15.75" customHeight="1" x14ac:dyDescent="0.2">
      <c r="A966" s="18" t="s">
        <v>44</v>
      </c>
      <c r="B966" s="19" t="s">
        <v>959</v>
      </c>
      <c r="C966" s="19" t="s">
        <v>980</v>
      </c>
      <c r="D966" s="18" t="s">
        <v>77</v>
      </c>
      <c r="E966" s="107" t="e" vm="200">
        <v>#VALUE!</v>
      </c>
      <c r="F966" s="18">
        <v>63330</v>
      </c>
      <c r="G966" s="19" t="s">
        <v>1122</v>
      </c>
      <c r="H966" s="18">
        <v>30</v>
      </c>
      <c r="I966" s="18" t="s">
        <v>48</v>
      </c>
    </row>
    <row r="967" spans="1:9" ht="15.75" customHeight="1" x14ac:dyDescent="0.2">
      <c r="A967" s="18" t="s">
        <v>44</v>
      </c>
      <c r="B967" s="19" t="s">
        <v>959</v>
      </c>
      <c r="C967" s="19" t="s">
        <v>980</v>
      </c>
      <c r="D967" s="18" t="s">
        <v>77</v>
      </c>
      <c r="E967" s="108"/>
      <c r="F967" s="18">
        <v>63331</v>
      </c>
      <c r="G967" s="19" t="s">
        <v>1123</v>
      </c>
      <c r="H967" s="18">
        <v>30</v>
      </c>
      <c r="I967" s="18" t="s">
        <v>48</v>
      </c>
    </row>
    <row r="968" spans="1:9" ht="15.75" customHeight="1" x14ac:dyDescent="0.2">
      <c r="A968" s="18" t="s">
        <v>44</v>
      </c>
      <c r="B968" s="19" t="s">
        <v>959</v>
      </c>
      <c r="C968" s="19" t="s">
        <v>980</v>
      </c>
      <c r="D968" s="18" t="s">
        <v>77</v>
      </c>
      <c r="E968" s="108"/>
      <c r="F968" s="18">
        <v>63332</v>
      </c>
      <c r="G968" s="19" t="s">
        <v>1124</v>
      </c>
      <c r="H968" s="18">
        <v>30</v>
      </c>
      <c r="I968" s="18" t="s">
        <v>48</v>
      </c>
    </row>
    <row r="969" spans="1:9" ht="15.75" customHeight="1" x14ac:dyDescent="0.2">
      <c r="A969" s="18" t="s">
        <v>44</v>
      </c>
      <c r="B969" s="19" t="s">
        <v>959</v>
      </c>
      <c r="C969" s="19" t="s">
        <v>980</v>
      </c>
      <c r="D969" s="18" t="s">
        <v>77</v>
      </c>
      <c r="E969" s="108"/>
      <c r="F969" s="18">
        <v>63304</v>
      </c>
      <c r="G969" s="19" t="s">
        <v>1125</v>
      </c>
      <c r="H969" s="18">
        <v>20</v>
      </c>
      <c r="I969" s="18" t="s">
        <v>48</v>
      </c>
    </row>
    <row r="970" spans="1:9" ht="15.75" customHeight="1" x14ac:dyDescent="0.2">
      <c r="A970" s="18" t="s">
        <v>44</v>
      </c>
      <c r="B970" s="19" t="s">
        <v>959</v>
      </c>
      <c r="C970" s="19" t="s">
        <v>980</v>
      </c>
      <c r="D970" s="18" t="s">
        <v>77</v>
      </c>
      <c r="E970" s="108"/>
      <c r="F970" s="18">
        <v>63333</v>
      </c>
      <c r="G970" s="19" t="s">
        <v>1126</v>
      </c>
      <c r="H970" s="18">
        <v>20</v>
      </c>
      <c r="I970" s="18" t="s">
        <v>48</v>
      </c>
    </row>
    <row r="971" spans="1:9" ht="15.75" customHeight="1" x14ac:dyDescent="0.2">
      <c r="A971" s="18" t="s">
        <v>44</v>
      </c>
      <c r="B971" s="19" t="s">
        <v>959</v>
      </c>
      <c r="C971" s="19" t="s">
        <v>980</v>
      </c>
      <c r="D971" s="18" t="s">
        <v>77</v>
      </c>
      <c r="E971" s="108"/>
      <c r="F971" s="18">
        <v>63334</v>
      </c>
      <c r="G971" s="19" t="s">
        <v>1127</v>
      </c>
      <c r="H971" s="18">
        <v>15</v>
      </c>
      <c r="I971" s="18" t="s">
        <v>48</v>
      </c>
    </row>
    <row r="972" spans="1:9" ht="15.75" customHeight="1" x14ac:dyDescent="0.2">
      <c r="A972" s="18" t="s">
        <v>44</v>
      </c>
      <c r="B972" s="19" t="s">
        <v>959</v>
      </c>
      <c r="C972" s="19" t="s">
        <v>980</v>
      </c>
      <c r="D972" s="18" t="s">
        <v>77</v>
      </c>
      <c r="E972" s="108"/>
      <c r="F972" s="18">
        <v>63335</v>
      </c>
      <c r="G972" s="19" t="s">
        <v>1128</v>
      </c>
      <c r="H972" s="18">
        <v>10</v>
      </c>
      <c r="I972" s="18" t="s">
        <v>48</v>
      </c>
    </row>
    <row r="973" spans="1:9" ht="15.75" customHeight="1" x14ac:dyDescent="0.2">
      <c r="A973" s="18" t="s">
        <v>44</v>
      </c>
      <c r="B973" s="19" t="s">
        <v>959</v>
      </c>
      <c r="C973" s="19" t="s">
        <v>980</v>
      </c>
      <c r="D973" s="18" t="s">
        <v>77</v>
      </c>
      <c r="E973" s="108"/>
      <c r="F973" s="18">
        <v>63336</v>
      </c>
      <c r="G973" s="19" t="s">
        <v>1129</v>
      </c>
      <c r="H973" s="18">
        <v>10</v>
      </c>
      <c r="I973" s="18" t="s">
        <v>48</v>
      </c>
    </row>
    <row r="974" spans="1:9" ht="15.75" customHeight="1" x14ac:dyDescent="0.2">
      <c r="A974" s="18" t="s">
        <v>44</v>
      </c>
      <c r="B974" s="19" t="s">
        <v>959</v>
      </c>
      <c r="C974" s="19" t="s">
        <v>980</v>
      </c>
      <c r="D974" s="18" t="s">
        <v>77</v>
      </c>
      <c r="E974" s="108"/>
      <c r="F974" s="18">
        <v>63337</v>
      </c>
      <c r="G974" s="19" t="s">
        <v>1130</v>
      </c>
      <c r="H974" s="18">
        <v>10</v>
      </c>
      <c r="I974" s="18" t="s">
        <v>48</v>
      </c>
    </row>
    <row r="975" spans="1:9" ht="15.75" customHeight="1" x14ac:dyDescent="0.2">
      <c r="A975" s="18" t="s">
        <v>44</v>
      </c>
      <c r="B975" s="19" t="s">
        <v>959</v>
      </c>
      <c r="C975" s="19" t="s">
        <v>980</v>
      </c>
      <c r="D975" s="18" t="s">
        <v>77</v>
      </c>
      <c r="E975" s="108"/>
      <c r="F975" s="18">
        <v>63338</v>
      </c>
      <c r="G975" s="19" t="s">
        <v>1131</v>
      </c>
      <c r="H975" s="18">
        <v>10</v>
      </c>
      <c r="I975" s="18" t="s">
        <v>48</v>
      </c>
    </row>
    <row r="976" spans="1:9" ht="15.75" customHeight="1" x14ac:dyDescent="0.2">
      <c r="A976" s="18" t="s">
        <v>44</v>
      </c>
      <c r="B976" s="19" t="s">
        <v>959</v>
      </c>
      <c r="C976" s="19" t="s">
        <v>980</v>
      </c>
      <c r="D976" s="18" t="s">
        <v>77</v>
      </c>
      <c r="E976" s="108"/>
      <c r="F976" s="18">
        <v>63339</v>
      </c>
      <c r="G976" s="19" t="s">
        <v>1132</v>
      </c>
      <c r="H976" s="18">
        <v>5</v>
      </c>
      <c r="I976" s="18" t="s">
        <v>48</v>
      </c>
    </row>
    <row r="977" spans="1:9" ht="15.75" customHeight="1" x14ac:dyDescent="0.2">
      <c r="A977" s="18" t="s">
        <v>44</v>
      </c>
      <c r="B977" s="19" t="s">
        <v>959</v>
      </c>
      <c r="C977" s="19" t="s">
        <v>980</v>
      </c>
      <c r="D977" s="18" t="s">
        <v>77</v>
      </c>
      <c r="E977" s="108"/>
      <c r="F977" s="18">
        <v>63340</v>
      </c>
      <c r="G977" s="19" t="s">
        <v>1133</v>
      </c>
      <c r="H977" s="18">
        <v>5</v>
      </c>
      <c r="I977" s="18" t="s">
        <v>48</v>
      </c>
    </row>
    <row r="978" spans="1:9" ht="15.75" customHeight="1" x14ac:dyDescent="0.2">
      <c r="A978" s="18" t="s">
        <v>44</v>
      </c>
      <c r="B978" s="19" t="s">
        <v>959</v>
      </c>
      <c r="C978" s="19" t="s">
        <v>980</v>
      </c>
      <c r="D978" s="18" t="s">
        <v>77</v>
      </c>
      <c r="E978" s="108"/>
      <c r="F978" s="18">
        <v>63341</v>
      </c>
      <c r="G978" s="19" t="s">
        <v>1134</v>
      </c>
      <c r="H978" s="18">
        <v>5</v>
      </c>
      <c r="I978" s="18" t="s">
        <v>48</v>
      </c>
    </row>
    <row r="979" spans="1:9" ht="15.75" customHeight="1" x14ac:dyDescent="0.2">
      <c r="A979" s="18" t="s">
        <v>44</v>
      </c>
      <c r="B979" s="19" t="s">
        <v>959</v>
      </c>
      <c r="C979" s="19" t="s">
        <v>980</v>
      </c>
      <c r="D979" s="18" t="s">
        <v>77</v>
      </c>
      <c r="E979" s="108"/>
      <c r="F979" s="18">
        <v>63342</v>
      </c>
      <c r="G979" s="19" t="s">
        <v>1135</v>
      </c>
      <c r="H979" s="18">
        <v>1</v>
      </c>
      <c r="I979" s="18" t="s">
        <v>48</v>
      </c>
    </row>
    <row r="980" spans="1:9" ht="15.75" customHeight="1" x14ac:dyDescent="0.2">
      <c r="A980" s="18" t="s">
        <v>44</v>
      </c>
      <c r="B980" s="19" t="s">
        <v>959</v>
      </c>
      <c r="C980" s="19" t="s">
        <v>980</v>
      </c>
      <c r="D980" s="18" t="s">
        <v>77</v>
      </c>
      <c r="E980" s="108"/>
      <c r="F980" s="18">
        <v>63343</v>
      </c>
      <c r="G980" s="19" t="s">
        <v>1136</v>
      </c>
      <c r="H980" s="18">
        <v>1</v>
      </c>
      <c r="I980" s="18" t="s">
        <v>48</v>
      </c>
    </row>
    <row r="981" spans="1:9" ht="15.75" customHeight="1" x14ac:dyDescent="0.2">
      <c r="A981" s="18" t="s">
        <v>44</v>
      </c>
      <c r="B981" s="19" t="s">
        <v>959</v>
      </c>
      <c r="C981" s="19" t="s">
        <v>980</v>
      </c>
      <c r="D981" s="18" t="s">
        <v>77</v>
      </c>
      <c r="E981" s="108"/>
      <c r="F981" s="18">
        <v>63344</v>
      </c>
      <c r="G981" s="19" t="s">
        <v>1137</v>
      </c>
      <c r="H981" s="18">
        <v>1</v>
      </c>
      <c r="I981" s="18" t="s">
        <v>48</v>
      </c>
    </row>
    <row r="982" spans="1:9" ht="15.75" customHeight="1" x14ac:dyDescent="0.2">
      <c r="A982" s="18" t="s">
        <v>44</v>
      </c>
      <c r="B982" s="19" t="s">
        <v>959</v>
      </c>
      <c r="C982" s="19" t="s">
        <v>980</v>
      </c>
      <c r="D982" s="18" t="s">
        <v>77</v>
      </c>
      <c r="E982" s="108"/>
      <c r="F982" s="18">
        <v>63345</v>
      </c>
      <c r="G982" s="19" t="s">
        <v>1138</v>
      </c>
      <c r="H982" s="18">
        <v>1</v>
      </c>
      <c r="I982" s="18" t="s">
        <v>48</v>
      </c>
    </row>
    <row r="983" spans="1:9" ht="15.75" customHeight="1" x14ac:dyDescent="0.2">
      <c r="A983" s="18" t="s">
        <v>44</v>
      </c>
      <c r="B983" s="19" t="s">
        <v>959</v>
      </c>
      <c r="C983" s="19" t="s">
        <v>980</v>
      </c>
      <c r="D983" s="18" t="s">
        <v>77</v>
      </c>
      <c r="E983" s="108"/>
      <c r="F983" s="18">
        <v>63346</v>
      </c>
      <c r="G983" s="19" t="s">
        <v>1139</v>
      </c>
      <c r="H983" s="18">
        <v>1</v>
      </c>
      <c r="I983" s="18" t="s">
        <v>48</v>
      </c>
    </row>
    <row r="984" spans="1:9" ht="15.75" customHeight="1" x14ac:dyDescent="0.2">
      <c r="A984" s="18" t="s">
        <v>44</v>
      </c>
      <c r="B984" s="19" t="s">
        <v>959</v>
      </c>
      <c r="C984" s="19" t="s">
        <v>980</v>
      </c>
      <c r="D984" s="18" t="s">
        <v>77</v>
      </c>
      <c r="E984" s="108"/>
      <c r="F984" s="18">
        <v>63347</v>
      </c>
      <c r="G984" s="19" t="s">
        <v>1140</v>
      </c>
      <c r="H984" s="18">
        <v>1</v>
      </c>
      <c r="I984" s="18" t="s">
        <v>48</v>
      </c>
    </row>
    <row r="985" spans="1:9" ht="15.75" customHeight="1" x14ac:dyDescent="0.2">
      <c r="A985" s="18" t="s">
        <v>44</v>
      </c>
      <c r="B985" s="19" t="s">
        <v>959</v>
      </c>
      <c r="C985" s="19" t="s">
        <v>980</v>
      </c>
      <c r="D985" s="18" t="s">
        <v>77</v>
      </c>
      <c r="E985" s="108"/>
      <c r="F985" s="18">
        <v>63348</v>
      </c>
      <c r="G985" s="19" t="s">
        <v>1141</v>
      </c>
      <c r="H985" s="18">
        <v>1</v>
      </c>
      <c r="I985" s="18" t="s">
        <v>48</v>
      </c>
    </row>
    <row r="986" spans="1:9" ht="15.75" customHeight="1" x14ac:dyDescent="0.2">
      <c r="A986" s="18" t="s">
        <v>44</v>
      </c>
      <c r="B986" s="19" t="s">
        <v>959</v>
      </c>
      <c r="C986" s="19" t="s">
        <v>980</v>
      </c>
      <c r="D986" s="18" t="s">
        <v>77</v>
      </c>
      <c r="E986" s="107" t="e" vm="201">
        <v>#VALUE!</v>
      </c>
      <c r="F986" s="18">
        <v>63430</v>
      </c>
      <c r="G986" s="19" t="s">
        <v>1142</v>
      </c>
      <c r="H986" s="18">
        <v>20</v>
      </c>
      <c r="I986" s="18" t="s">
        <v>48</v>
      </c>
    </row>
    <row r="987" spans="1:9" ht="15.75" customHeight="1" x14ac:dyDescent="0.2">
      <c r="A987" s="18" t="s">
        <v>44</v>
      </c>
      <c r="B987" s="19" t="s">
        <v>959</v>
      </c>
      <c r="C987" s="19" t="s">
        <v>980</v>
      </c>
      <c r="D987" s="18" t="s">
        <v>77</v>
      </c>
      <c r="E987" s="108"/>
      <c r="F987" s="18">
        <v>63431</v>
      </c>
      <c r="G987" s="19" t="s">
        <v>1143</v>
      </c>
      <c r="H987" s="18">
        <v>15</v>
      </c>
      <c r="I987" s="18" t="s">
        <v>48</v>
      </c>
    </row>
    <row r="988" spans="1:9" ht="15.75" customHeight="1" x14ac:dyDescent="0.2">
      <c r="A988" s="18" t="s">
        <v>44</v>
      </c>
      <c r="B988" s="19" t="s">
        <v>959</v>
      </c>
      <c r="C988" s="19" t="s">
        <v>980</v>
      </c>
      <c r="D988" s="18" t="s">
        <v>77</v>
      </c>
      <c r="E988" s="108"/>
      <c r="F988" s="18">
        <v>63432</v>
      </c>
      <c r="G988" s="19" t="s">
        <v>1144</v>
      </c>
      <c r="H988" s="18">
        <v>10</v>
      </c>
      <c r="I988" s="18" t="s">
        <v>48</v>
      </c>
    </row>
    <row r="989" spans="1:9" ht="15.75" customHeight="1" x14ac:dyDescent="0.2">
      <c r="A989" s="18" t="s">
        <v>44</v>
      </c>
      <c r="B989" s="19" t="s">
        <v>959</v>
      </c>
      <c r="C989" s="19" t="s">
        <v>980</v>
      </c>
      <c r="D989" s="18" t="s">
        <v>77</v>
      </c>
      <c r="E989" s="108"/>
      <c r="F989" s="18">
        <v>63433</v>
      </c>
      <c r="G989" s="19" t="s">
        <v>1145</v>
      </c>
      <c r="H989" s="18">
        <v>10</v>
      </c>
      <c r="I989" s="18" t="s">
        <v>48</v>
      </c>
    </row>
    <row r="990" spans="1:9" ht="15.75" customHeight="1" x14ac:dyDescent="0.2">
      <c r="A990" s="18" t="s">
        <v>44</v>
      </c>
      <c r="B990" s="19" t="s">
        <v>959</v>
      </c>
      <c r="C990" s="19" t="s">
        <v>980</v>
      </c>
      <c r="D990" s="18" t="s">
        <v>77</v>
      </c>
      <c r="E990" s="108"/>
      <c r="F990" s="18">
        <v>63434</v>
      </c>
      <c r="G990" s="19" t="s">
        <v>1146</v>
      </c>
      <c r="H990" s="18">
        <v>4</v>
      </c>
      <c r="I990" s="18" t="s">
        <v>48</v>
      </c>
    </row>
    <row r="991" spans="1:9" ht="15.75" customHeight="1" x14ac:dyDescent="0.2">
      <c r="A991" s="18" t="s">
        <v>44</v>
      </c>
      <c r="B991" s="19" t="s">
        <v>959</v>
      </c>
      <c r="C991" s="19" t="s">
        <v>980</v>
      </c>
      <c r="D991" s="18" t="s">
        <v>77</v>
      </c>
      <c r="E991" s="108"/>
      <c r="F991" s="18">
        <v>63435</v>
      </c>
      <c r="G991" s="19" t="s">
        <v>1147</v>
      </c>
      <c r="H991" s="18">
        <v>3</v>
      </c>
      <c r="I991" s="18" t="s">
        <v>48</v>
      </c>
    </row>
    <row r="992" spans="1:9" ht="15.75" customHeight="1" x14ac:dyDescent="0.2">
      <c r="A992" s="18" t="s">
        <v>44</v>
      </c>
      <c r="B992" s="19" t="s">
        <v>959</v>
      </c>
      <c r="C992" s="19" t="s">
        <v>980</v>
      </c>
      <c r="D992" s="18" t="s">
        <v>77</v>
      </c>
      <c r="E992" s="108"/>
      <c r="F992" s="18">
        <v>63436</v>
      </c>
      <c r="G992" s="19" t="s">
        <v>1148</v>
      </c>
      <c r="H992" s="18">
        <v>1</v>
      </c>
      <c r="I992" s="18" t="s">
        <v>48</v>
      </c>
    </row>
    <row r="993" spans="1:9" ht="15.75" customHeight="1" x14ac:dyDescent="0.2">
      <c r="A993" s="18" t="s">
        <v>44</v>
      </c>
      <c r="B993" s="19" t="s">
        <v>959</v>
      </c>
      <c r="C993" s="19" t="s">
        <v>1149</v>
      </c>
      <c r="D993" s="18" t="s">
        <v>77</v>
      </c>
      <c r="E993" s="107" t="e" vm="202">
        <v>#VALUE!</v>
      </c>
      <c r="F993" s="18">
        <v>63450</v>
      </c>
      <c r="G993" s="19" t="s">
        <v>1150</v>
      </c>
      <c r="H993" s="18">
        <v>2</v>
      </c>
      <c r="I993" s="18" t="s">
        <v>48</v>
      </c>
    </row>
    <row r="994" spans="1:9" ht="15.75" customHeight="1" x14ac:dyDescent="0.2">
      <c r="A994" s="18" t="s">
        <v>44</v>
      </c>
      <c r="B994" s="19" t="s">
        <v>959</v>
      </c>
      <c r="C994" s="19" t="s">
        <v>1149</v>
      </c>
      <c r="D994" s="18" t="s">
        <v>77</v>
      </c>
      <c r="E994" s="108"/>
      <c r="F994" s="18">
        <v>63451</v>
      </c>
      <c r="G994" s="19" t="s">
        <v>1151</v>
      </c>
      <c r="H994" s="18">
        <v>1</v>
      </c>
      <c r="I994" s="18" t="s">
        <v>48</v>
      </c>
    </row>
    <row r="995" spans="1:9" ht="15.75" customHeight="1" x14ac:dyDescent="0.2">
      <c r="A995" s="18" t="s">
        <v>44</v>
      </c>
      <c r="B995" s="19" t="s">
        <v>959</v>
      </c>
      <c r="C995" s="19" t="s">
        <v>1149</v>
      </c>
      <c r="D995" s="18" t="s">
        <v>77</v>
      </c>
      <c r="E995" s="108"/>
      <c r="F995" s="18">
        <v>63452</v>
      </c>
      <c r="G995" s="19" t="s">
        <v>1152</v>
      </c>
      <c r="H995" s="18">
        <v>1</v>
      </c>
      <c r="I995" s="18" t="s">
        <v>48</v>
      </c>
    </row>
    <row r="996" spans="1:9" ht="15.75" customHeight="1" x14ac:dyDescent="0.2">
      <c r="A996" s="18" t="s">
        <v>44</v>
      </c>
      <c r="B996" s="19" t="s">
        <v>959</v>
      </c>
      <c r="C996" s="19" t="s">
        <v>1149</v>
      </c>
      <c r="D996" s="18" t="s">
        <v>77</v>
      </c>
      <c r="E996" s="108"/>
      <c r="F996" s="18">
        <v>63453</v>
      </c>
      <c r="G996" s="19" t="s">
        <v>1153</v>
      </c>
      <c r="H996" s="18">
        <v>1</v>
      </c>
      <c r="I996" s="18" t="s">
        <v>48</v>
      </c>
    </row>
    <row r="997" spans="1:9" ht="15.75" customHeight="1" x14ac:dyDescent="0.2">
      <c r="A997" s="18" t="s">
        <v>44</v>
      </c>
      <c r="B997" s="19" t="s">
        <v>959</v>
      </c>
      <c r="C997" s="19" t="s">
        <v>1149</v>
      </c>
      <c r="D997" s="18" t="s">
        <v>77</v>
      </c>
      <c r="E997" s="108"/>
      <c r="F997" s="18">
        <v>63454</v>
      </c>
      <c r="G997" s="19" t="s">
        <v>1154</v>
      </c>
      <c r="H997" s="18">
        <v>1</v>
      </c>
      <c r="I997" s="18" t="s">
        <v>48</v>
      </c>
    </row>
    <row r="998" spans="1:9" ht="15.75" customHeight="1" x14ac:dyDescent="0.2">
      <c r="A998" s="18" t="s">
        <v>44</v>
      </c>
      <c r="B998" s="19" t="s">
        <v>959</v>
      </c>
      <c r="C998" s="19" t="s">
        <v>1149</v>
      </c>
      <c r="D998" s="21" t="s">
        <v>77</v>
      </c>
      <c r="E998" s="111" t="e" vm="203">
        <v>#VALUE!</v>
      </c>
      <c r="F998" s="23">
        <v>351941</v>
      </c>
      <c r="G998" s="19" t="s">
        <v>1155</v>
      </c>
      <c r="H998" s="18">
        <v>1</v>
      </c>
      <c r="I998" s="18" t="s">
        <v>146</v>
      </c>
    </row>
    <row r="999" spans="1:9" ht="15.75" customHeight="1" x14ac:dyDescent="0.2">
      <c r="A999" s="18" t="s">
        <v>44</v>
      </c>
      <c r="B999" s="19" t="s">
        <v>959</v>
      </c>
      <c r="C999" s="19" t="s">
        <v>1149</v>
      </c>
      <c r="D999" s="21" t="s">
        <v>77</v>
      </c>
      <c r="E999" s="111"/>
      <c r="F999" s="23">
        <v>351942</v>
      </c>
      <c r="G999" s="19" t="s">
        <v>1156</v>
      </c>
      <c r="H999" s="18">
        <v>1</v>
      </c>
      <c r="I999" s="18" t="s">
        <v>146</v>
      </c>
    </row>
    <row r="1000" spans="1:9" ht="15.75" customHeight="1" x14ac:dyDescent="0.2">
      <c r="A1000" s="18" t="s">
        <v>44</v>
      </c>
      <c r="B1000" s="19" t="s">
        <v>959</v>
      </c>
      <c r="C1000" s="19" t="s">
        <v>1149</v>
      </c>
      <c r="D1000" s="21" t="s">
        <v>77</v>
      </c>
      <c r="E1000" s="111"/>
      <c r="F1000" s="23">
        <v>351943</v>
      </c>
      <c r="G1000" s="19" t="s">
        <v>1157</v>
      </c>
      <c r="H1000" s="18">
        <v>1</v>
      </c>
      <c r="I1000" s="18" t="s">
        <v>146</v>
      </c>
    </row>
    <row r="1001" spans="1:9" ht="15.75" customHeight="1" x14ac:dyDescent="0.2">
      <c r="A1001" s="18" t="s">
        <v>44</v>
      </c>
      <c r="B1001" s="19" t="s">
        <v>959</v>
      </c>
      <c r="C1001" s="19" t="s">
        <v>1149</v>
      </c>
      <c r="D1001" s="21" t="s">
        <v>77</v>
      </c>
      <c r="E1001" s="111"/>
      <c r="F1001" s="23">
        <v>351944</v>
      </c>
      <c r="G1001" s="19" t="s">
        <v>1158</v>
      </c>
      <c r="H1001" s="18">
        <v>1</v>
      </c>
      <c r="I1001" s="18" t="s">
        <v>146</v>
      </c>
    </row>
    <row r="1002" spans="1:9" ht="21.75" customHeight="1" x14ac:dyDescent="0.2">
      <c r="A1002" s="18" t="s">
        <v>44</v>
      </c>
      <c r="B1002" s="19" t="s">
        <v>959</v>
      </c>
      <c r="C1002" s="19" t="s">
        <v>1149</v>
      </c>
      <c r="D1002" s="18" t="s">
        <v>77</v>
      </c>
      <c r="E1002" s="107" t="e" vm="204">
        <v>#VALUE!</v>
      </c>
      <c r="F1002" s="18">
        <v>63201</v>
      </c>
      <c r="G1002" s="19" t="s">
        <v>1159</v>
      </c>
      <c r="H1002" s="18">
        <v>1</v>
      </c>
      <c r="I1002" s="18" t="s">
        <v>48</v>
      </c>
    </row>
    <row r="1003" spans="1:9" ht="21.75" customHeight="1" x14ac:dyDescent="0.2">
      <c r="A1003" s="18" t="s">
        <v>44</v>
      </c>
      <c r="B1003" s="19" t="s">
        <v>959</v>
      </c>
      <c r="C1003" s="19" t="s">
        <v>1149</v>
      </c>
      <c r="D1003" s="18" t="s">
        <v>77</v>
      </c>
      <c r="E1003" s="108"/>
      <c r="F1003" s="18">
        <v>63202</v>
      </c>
      <c r="G1003" s="19" t="s">
        <v>1160</v>
      </c>
      <c r="H1003" s="18">
        <v>1</v>
      </c>
      <c r="I1003" s="18" t="s">
        <v>48</v>
      </c>
    </row>
    <row r="1004" spans="1:9" ht="15.75" customHeight="1" x14ac:dyDescent="0.2">
      <c r="A1004" s="18" t="s">
        <v>44</v>
      </c>
      <c r="B1004" s="19" t="s">
        <v>959</v>
      </c>
      <c r="C1004" s="19" t="s">
        <v>1149</v>
      </c>
      <c r="D1004" s="18" t="s">
        <v>77</v>
      </c>
      <c r="E1004" s="107" t="e" vm="205">
        <v>#VALUE!</v>
      </c>
      <c r="F1004" s="18">
        <v>63101</v>
      </c>
      <c r="G1004" s="19" t="s">
        <v>1161</v>
      </c>
      <c r="H1004" s="18">
        <v>1</v>
      </c>
      <c r="I1004" s="18" t="s">
        <v>48</v>
      </c>
    </row>
    <row r="1005" spans="1:9" ht="15.75" customHeight="1" x14ac:dyDescent="0.2">
      <c r="A1005" s="18" t="s">
        <v>44</v>
      </c>
      <c r="B1005" s="19" t="s">
        <v>959</v>
      </c>
      <c r="C1005" s="19" t="s">
        <v>1149</v>
      </c>
      <c r="D1005" s="18" t="s">
        <v>77</v>
      </c>
      <c r="E1005" s="108"/>
      <c r="F1005" s="18">
        <v>63102</v>
      </c>
      <c r="G1005" s="19" t="s">
        <v>1162</v>
      </c>
      <c r="H1005" s="18">
        <v>1</v>
      </c>
      <c r="I1005" s="18" t="s">
        <v>48</v>
      </c>
    </row>
    <row r="1006" spans="1:9" ht="15.75" customHeight="1" x14ac:dyDescent="0.2">
      <c r="A1006" s="18" t="s">
        <v>44</v>
      </c>
      <c r="B1006" s="19" t="s">
        <v>959</v>
      </c>
      <c r="C1006" s="19" t="s">
        <v>1149</v>
      </c>
      <c r="D1006" s="18" t="s">
        <v>77</v>
      </c>
      <c r="E1006" s="108"/>
      <c r="F1006" s="18">
        <v>63103</v>
      </c>
      <c r="G1006" s="19" t="s">
        <v>1163</v>
      </c>
      <c r="H1006" s="18">
        <v>1</v>
      </c>
      <c r="I1006" s="18" t="s">
        <v>48</v>
      </c>
    </row>
    <row r="1007" spans="1:9" ht="15.75" customHeight="1" x14ac:dyDescent="0.2">
      <c r="A1007" s="18" t="s">
        <v>44</v>
      </c>
      <c r="B1007" s="19" t="s">
        <v>959</v>
      </c>
      <c r="C1007" s="19" t="s">
        <v>1149</v>
      </c>
      <c r="D1007" s="18" t="s">
        <v>77</v>
      </c>
      <c r="E1007" s="108"/>
      <c r="F1007" s="18">
        <v>63104</v>
      </c>
      <c r="G1007" s="19" t="s">
        <v>1164</v>
      </c>
      <c r="H1007" s="18">
        <v>1</v>
      </c>
      <c r="I1007" s="18" t="s">
        <v>48</v>
      </c>
    </row>
    <row r="1008" spans="1:9" ht="15.75" customHeight="1" x14ac:dyDescent="0.2">
      <c r="A1008" s="18" t="s">
        <v>44</v>
      </c>
      <c r="B1008" s="19" t="s">
        <v>1165</v>
      </c>
      <c r="C1008" s="19" t="s">
        <v>1166</v>
      </c>
      <c r="D1008" s="18" t="s">
        <v>1167</v>
      </c>
      <c r="E1008" s="114" t="e" vm="206">
        <v>#VALUE!</v>
      </c>
      <c r="F1008" s="18">
        <v>90034</v>
      </c>
      <c r="G1008" s="19" t="s">
        <v>1168</v>
      </c>
      <c r="H1008" s="18">
        <v>1</v>
      </c>
      <c r="I1008" s="18" t="s">
        <v>146</v>
      </c>
    </row>
    <row r="1009" spans="1:9" ht="15.75" customHeight="1" x14ac:dyDescent="0.2">
      <c r="A1009" s="18" t="s">
        <v>44</v>
      </c>
      <c r="B1009" s="19" t="s">
        <v>1165</v>
      </c>
      <c r="C1009" s="19" t="s">
        <v>1166</v>
      </c>
      <c r="D1009" s="18" t="s">
        <v>1169</v>
      </c>
      <c r="E1009" s="114"/>
      <c r="F1009" s="18">
        <v>90035</v>
      </c>
      <c r="G1009" s="19" t="s">
        <v>1170</v>
      </c>
      <c r="H1009" s="18">
        <v>1</v>
      </c>
      <c r="I1009" s="18" t="s">
        <v>146</v>
      </c>
    </row>
    <row r="1010" spans="1:9" ht="15.75" customHeight="1" x14ac:dyDescent="0.2">
      <c r="A1010" s="18" t="s">
        <v>44</v>
      </c>
      <c r="B1010" s="19" t="s">
        <v>1165</v>
      </c>
      <c r="C1010" s="19" t="s">
        <v>1166</v>
      </c>
      <c r="D1010" s="18" t="s">
        <v>1171</v>
      </c>
      <c r="E1010" s="114"/>
      <c r="F1010" s="18">
        <v>90036</v>
      </c>
      <c r="G1010" s="19" t="s">
        <v>1172</v>
      </c>
      <c r="H1010" s="18">
        <v>1</v>
      </c>
      <c r="I1010" s="18" t="s">
        <v>146</v>
      </c>
    </row>
    <row r="1011" spans="1:9" ht="15.75" customHeight="1" x14ac:dyDescent="0.2">
      <c r="A1011" s="18" t="s">
        <v>44</v>
      </c>
      <c r="B1011" s="19" t="s">
        <v>1165</v>
      </c>
      <c r="C1011" s="19" t="s">
        <v>1166</v>
      </c>
      <c r="D1011" s="18" t="s">
        <v>1173</v>
      </c>
      <c r="E1011" s="114"/>
      <c r="F1011" s="18">
        <v>90037</v>
      </c>
      <c r="G1011" s="19" t="s">
        <v>1174</v>
      </c>
      <c r="H1011" s="18">
        <v>1</v>
      </c>
      <c r="I1011" s="18" t="s">
        <v>146</v>
      </c>
    </row>
    <row r="1012" spans="1:9" ht="15.75" customHeight="1" x14ac:dyDescent="0.2">
      <c r="A1012" s="18" t="s">
        <v>44</v>
      </c>
      <c r="B1012" s="19" t="s">
        <v>1165</v>
      </c>
      <c r="C1012" s="19" t="s">
        <v>1166</v>
      </c>
      <c r="D1012" s="18" t="s">
        <v>1175</v>
      </c>
      <c r="E1012" s="76" t="e" vm="207">
        <v>#VALUE!</v>
      </c>
      <c r="F1012" s="18">
        <v>90038</v>
      </c>
      <c r="G1012" s="19" t="s">
        <v>1176</v>
      </c>
      <c r="H1012" s="18">
        <v>1</v>
      </c>
      <c r="I1012" s="18" t="s">
        <v>146</v>
      </c>
    </row>
    <row r="1013" spans="1:9" ht="19.5" customHeight="1" x14ac:dyDescent="0.2">
      <c r="A1013" s="18" t="s">
        <v>44</v>
      </c>
      <c r="B1013" s="19" t="s">
        <v>1165</v>
      </c>
      <c r="C1013" s="19" t="s">
        <v>1177</v>
      </c>
      <c r="D1013" s="18" t="s">
        <v>1178</v>
      </c>
      <c r="E1013" s="76" t="e" vm="208">
        <v>#VALUE!</v>
      </c>
      <c r="F1013" s="18">
        <v>90001</v>
      </c>
      <c r="G1013" s="19" t="s">
        <v>1179</v>
      </c>
      <c r="H1013" s="18">
        <v>1</v>
      </c>
      <c r="I1013" s="18" t="s">
        <v>146</v>
      </c>
    </row>
    <row r="1014" spans="1:9" ht="19.5" customHeight="1" x14ac:dyDescent="0.2">
      <c r="A1014" s="18" t="s">
        <v>44</v>
      </c>
      <c r="B1014" s="19" t="s">
        <v>1165</v>
      </c>
      <c r="C1014" s="19" t="s">
        <v>1177</v>
      </c>
      <c r="D1014" s="18" t="s">
        <v>1178</v>
      </c>
      <c r="E1014" s="76" t="e" vm="209">
        <v>#VALUE!</v>
      </c>
      <c r="F1014" s="18">
        <v>90002</v>
      </c>
      <c r="G1014" s="19" t="s">
        <v>1180</v>
      </c>
      <c r="H1014" s="18">
        <v>1</v>
      </c>
      <c r="I1014" s="18" t="s">
        <v>146</v>
      </c>
    </row>
    <row r="1015" spans="1:9" ht="15.75" customHeight="1" x14ac:dyDescent="0.2">
      <c r="A1015" s="18" t="s">
        <v>44</v>
      </c>
      <c r="B1015" s="19" t="s">
        <v>1165</v>
      </c>
      <c r="C1015" s="19" t="s">
        <v>1177</v>
      </c>
      <c r="D1015" s="18" t="s">
        <v>1167</v>
      </c>
      <c r="E1015" s="114" t="e" vm="210">
        <v>#VALUE!</v>
      </c>
      <c r="F1015" s="18">
        <v>90003</v>
      </c>
      <c r="G1015" s="19" t="s">
        <v>1181</v>
      </c>
      <c r="H1015" s="18">
        <v>1</v>
      </c>
      <c r="I1015" s="18" t="s">
        <v>146</v>
      </c>
    </row>
    <row r="1016" spans="1:9" ht="15.75" customHeight="1" x14ac:dyDescent="0.2">
      <c r="A1016" s="18" t="s">
        <v>44</v>
      </c>
      <c r="B1016" s="19" t="s">
        <v>1165</v>
      </c>
      <c r="C1016" s="19" t="s">
        <v>1177</v>
      </c>
      <c r="D1016" s="18" t="s">
        <v>1169</v>
      </c>
      <c r="E1016" s="114"/>
      <c r="F1016" s="18">
        <v>90004</v>
      </c>
      <c r="G1016" s="19" t="s">
        <v>1182</v>
      </c>
      <c r="H1016" s="18">
        <v>1</v>
      </c>
      <c r="I1016" s="18" t="s">
        <v>146</v>
      </c>
    </row>
    <row r="1017" spans="1:9" ht="15.75" customHeight="1" x14ac:dyDescent="0.2">
      <c r="A1017" s="18" t="s">
        <v>44</v>
      </c>
      <c r="B1017" s="19" t="s">
        <v>1165</v>
      </c>
      <c r="C1017" s="19" t="s">
        <v>1177</v>
      </c>
      <c r="D1017" s="18" t="s">
        <v>1171</v>
      </c>
      <c r="E1017" s="114"/>
      <c r="F1017" s="18">
        <v>90005</v>
      </c>
      <c r="G1017" s="19" t="s">
        <v>1183</v>
      </c>
      <c r="H1017" s="18">
        <v>1</v>
      </c>
      <c r="I1017" s="18" t="s">
        <v>146</v>
      </c>
    </row>
    <row r="1018" spans="1:9" ht="15.75" customHeight="1" x14ac:dyDescent="0.2">
      <c r="A1018" s="18" t="s">
        <v>44</v>
      </c>
      <c r="B1018" s="19" t="s">
        <v>1165</v>
      </c>
      <c r="C1018" s="19" t="s">
        <v>1177</v>
      </c>
      <c r="D1018" s="18" t="s">
        <v>1167</v>
      </c>
      <c r="E1018" s="114" t="e" vm="211">
        <v>#VALUE!</v>
      </c>
      <c r="F1018" s="18">
        <v>90006</v>
      </c>
      <c r="G1018" s="19" t="s">
        <v>1184</v>
      </c>
      <c r="H1018" s="18">
        <v>1</v>
      </c>
      <c r="I1018" s="18" t="s">
        <v>146</v>
      </c>
    </row>
    <row r="1019" spans="1:9" ht="15.75" customHeight="1" x14ac:dyDescent="0.2">
      <c r="A1019" s="18" t="s">
        <v>44</v>
      </c>
      <c r="B1019" s="19" t="s">
        <v>1165</v>
      </c>
      <c r="C1019" s="19" t="s">
        <v>1177</v>
      </c>
      <c r="D1019" s="18" t="s">
        <v>1169</v>
      </c>
      <c r="E1019" s="114"/>
      <c r="F1019" s="18">
        <v>90007</v>
      </c>
      <c r="G1019" s="19" t="s">
        <v>1185</v>
      </c>
      <c r="H1019" s="18">
        <v>1</v>
      </c>
      <c r="I1019" s="18" t="s">
        <v>146</v>
      </c>
    </row>
    <row r="1020" spans="1:9" ht="15.75" customHeight="1" x14ac:dyDescent="0.2">
      <c r="A1020" s="18" t="s">
        <v>44</v>
      </c>
      <c r="B1020" s="19" t="s">
        <v>1165</v>
      </c>
      <c r="C1020" s="19" t="s">
        <v>1177</v>
      </c>
      <c r="D1020" s="18" t="s">
        <v>1171</v>
      </c>
      <c r="E1020" s="114"/>
      <c r="F1020" s="18">
        <v>90008</v>
      </c>
      <c r="G1020" s="19" t="s">
        <v>1186</v>
      </c>
      <c r="H1020" s="18">
        <v>1</v>
      </c>
      <c r="I1020" s="18" t="s">
        <v>146</v>
      </c>
    </row>
    <row r="1021" spans="1:9" ht="24" customHeight="1" x14ac:dyDescent="0.2">
      <c r="A1021" s="18" t="s">
        <v>44</v>
      </c>
      <c r="B1021" s="19" t="s">
        <v>1165</v>
      </c>
      <c r="C1021" s="19" t="s">
        <v>1177</v>
      </c>
      <c r="D1021" s="18" t="s">
        <v>1178</v>
      </c>
      <c r="E1021" s="76" t="e" vm="212">
        <v>#VALUE!</v>
      </c>
      <c r="F1021" s="18">
        <v>90009</v>
      </c>
      <c r="G1021" s="19" t="s">
        <v>1187</v>
      </c>
      <c r="H1021" s="18">
        <v>1</v>
      </c>
      <c r="I1021" s="18" t="s">
        <v>146</v>
      </c>
    </row>
    <row r="1022" spans="1:9" ht="15.75" customHeight="1" x14ac:dyDescent="0.2">
      <c r="A1022" s="18" t="s">
        <v>44</v>
      </c>
      <c r="B1022" s="19" t="s">
        <v>1165</v>
      </c>
      <c r="C1022" s="19" t="s">
        <v>1177</v>
      </c>
      <c r="D1022" s="18" t="s">
        <v>1178</v>
      </c>
      <c r="E1022" s="114" t="e" vm="213">
        <v>#VALUE!</v>
      </c>
      <c r="F1022" s="18">
        <v>90010</v>
      </c>
      <c r="G1022" s="19" t="s">
        <v>1188</v>
      </c>
      <c r="H1022" s="18">
        <v>1</v>
      </c>
      <c r="I1022" s="18" t="s">
        <v>146</v>
      </c>
    </row>
    <row r="1023" spans="1:9" ht="15.75" customHeight="1" x14ac:dyDescent="0.2">
      <c r="A1023" s="18" t="s">
        <v>44</v>
      </c>
      <c r="B1023" s="19" t="s">
        <v>1165</v>
      </c>
      <c r="C1023" s="19" t="s">
        <v>1177</v>
      </c>
      <c r="D1023" s="18" t="s">
        <v>1178</v>
      </c>
      <c r="E1023" s="114"/>
      <c r="F1023" s="18">
        <v>90011</v>
      </c>
      <c r="G1023" s="19" t="s">
        <v>1189</v>
      </c>
      <c r="H1023" s="18">
        <v>1</v>
      </c>
      <c r="I1023" s="18" t="s">
        <v>146</v>
      </c>
    </row>
    <row r="1024" spans="1:9" ht="15.75" customHeight="1" x14ac:dyDescent="0.2">
      <c r="A1024" s="18" t="s">
        <v>44</v>
      </c>
      <c r="B1024" s="19" t="s">
        <v>1165</v>
      </c>
      <c r="C1024" s="19" t="s">
        <v>1177</v>
      </c>
      <c r="D1024" s="18" t="s">
        <v>1190</v>
      </c>
      <c r="E1024" s="114"/>
      <c r="F1024" s="18">
        <v>90012</v>
      </c>
      <c r="G1024" s="19" t="s">
        <v>1191</v>
      </c>
      <c r="H1024" s="18">
        <v>1</v>
      </c>
      <c r="I1024" s="18" t="s">
        <v>146</v>
      </c>
    </row>
    <row r="1025" spans="1:9" ht="15.75" customHeight="1" x14ac:dyDescent="0.2">
      <c r="A1025" s="18" t="s">
        <v>44</v>
      </c>
      <c r="B1025" s="19" t="s">
        <v>1165</v>
      </c>
      <c r="C1025" s="19" t="s">
        <v>1177</v>
      </c>
      <c r="D1025" s="18" t="s">
        <v>1192</v>
      </c>
      <c r="E1025" s="114" t="e" vm="214">
        <v>#VALUE!</v>
      </c>
      <c r="F1025" s="18">
        <v>90013</v>
      </c>
      <c r="G1025" s="19" t="s">
        <v>1193</v>
      </c>
      <c r="H1025" s="18">
        <v>1</v>
      </c>
      <c r="I1025" s="18" t="s">
        <v>146</v>
      </c>
    </row>
    <row r="1026" spans="1:9" ht="15.75" customHeight="1" x14ac:dyDescent="0.2">
      <c r="A1026" s="18" t="s">
        <v>44</v>
      </c>
      <c r="B1026" s="19" t="s">
        <v>1165</v>
      </c>
      <c r="C1026" s="19" t="s">
        <v>1177</v>
      </c>
      <c r="D1026" s="18" t="s">
        <v>1194</v>
      </c>
      <c r="E1026" s="114"/>
      <c r="F1026" s="18">
        <v>90014</v>
      </c>
      <c r="G1026" s="19" t="s">
        <v>1195</v>
      </c>
      <c r="H1026" s="18">
        <v>1</v>
      </c>
      <c r="I1026" s="18" t="s">
        <v>146</v>
      </c>
    </row>
    <row r="1027" spans="1:9" ht="15.75" customHeight="1" x14ac:dyDescent="0.2">
      <c r="A1027" s="18" t="s">
        <v>44</v>
      </c>
      <c r="B1027" s="19" t="s">
        <v>1165</v>
      </c>
      <c r="C1027" s="19" t="s">
        <v>1177</v>
      </c>
      <c r="D1027" s="18" t="s">
        <v>1196</v>
      </c>
      <c r="E1027" s="114"/>
      <c r="F1027" s="18">
        <v>90015</v>
      </c>
      <c r="G1027" s="19" t="s">
        <v>1197</v>
      </c>
      <c r="H1027" s="18">
        <v>1</v>
      </c>
      <c r="I1027" s="18" t="s">
        <v>146</v>
      </c>
    </row>
    <row r="1028" spans="1:9" ht="15.75" customHeight="1" x14ac:dyDescent="0.2">
      <c r="A1028" s="18" t="s">
        <v>44</v>
      </c>
      <c r="B1028" s="19" t="s">
        <v>1165</v>
      </c>
      <c r="C1028" s="19" t="s">
        <v>1177</v>
      </c>
      <c r="D1028" s="18" t="s">
        <v>1198</v>
      </c>
      <c r="E1028" s="114" t="e" vm="215">
        <v>#VALUE!</v>
      </c>
      <c r="F1028" s="18">
        <v>90016</v>
      </c>
      <c r="G1028" s="19" t="s">
        <v>1199</v>
      </c>
      <c r="H1028" s="18">
        <v>1</v>
      </c>
      <c r="I1028" s="18" t="s">
        <v>146</v>
      </c>
    </row>
    <row r="1029" spans="1:9" ht="15.75" customHeight="1" x14ac:dyDescent="0.2">
      <c r="A1029" s="18" t="s">
        <v>44</v>
      </c>
      <c r="B1029" s="19" t="s">
        <v>1165</v>
      </c>
      <c r="C1029" s="19" t="s">
        <v>1177</v>
      </c>
      <c r="D1029" s="18" t="s">
        <v>1200</v>
      </c>
      <c r="E1029" s="114"/>
      <c r="F1029" s="18">
        <v>90017</v>
      </c>
      <c r="G1029" s="19" t="s">
        <v>1201</v>
      </c>
      <c r="H1029" s="18">
        <v>1</v>
      </c>
      <c r="I1029" s="18" t="s">
        <v>146</v>
      </c>
    </row>
    <row r="1030" spans="1:9" ht="15.75" customHeight="1" x14ac:dyDescent="0.2">
      <c r="A1030" s="18" t="s">
        <v>44</v>
      </c>
      <c r="B1030" s="19" t="s">
        <v>1165</v>
      </c>
      <c r="C1030" s="19" t="s">
        <v>1177</v>
      </c>
      <c r="D1030" s="18" t="s">
        <v>1167</v>
      </c>
      <c r="E1030" s="114" t="e" vm="216">
        <v>#VALUE!</v>
      </c>
      <c r="F1030" s="18">
        <v>90018</v>
      </c>
      <c r="G1030" s="19" t="s">
        <v>1202</v>
      </c>
      <c r="H1030" s="18">
        <v>1</v>
      </c>
      <c r="I1030" s="18" t="s">
        <v>146</v>
      </c>
    </row>
    <row r="1031" spans="1:9" ht="15.75" customHeight="1" x14ac:dyDescent="0.2">
      <c r="A1031" s="18" t="s">
        <v>44</v>
      </c>
      <c r="B1031" s="19" t="s">
        <v>1165</v>
      </c>
      <c r="C1031" s="19" t="s">
        <v>1177</v>
      </c>
      <c r="D1031" s="18" t="s">
        <v>1169</v>
      </c>
      <c r="E1031" s="114"/>
      <c r="F1031" s="18">
        <v>90019</v>
      </c>
      <c r="G1031" s="19" t="s">
        <v>1203</v>
      </c>
      <c r="H1031" s="18">
        <v>1</v>
      </c>
      <c r="I1031" s="18" t="s">
        <v>146</v>
      </c>
    </row>
    <row r="1032" spans="1:9" ht="15.75" customHeight="1" x14ac:dyDescent="0.2">
      <c r="A1032" s="18" t="s">
        <v>44</v>
      </c>
      <c r="B1032" s="19" t="s">
        <v>1165</v>
      </c>
      <c r="C1032" s="19" t="s">
        <v>1177</v>
      </c>
      <c r="D1032" s="18" t="s">
        <v>1171</v>
      </c>
      <c r="E1032" s="114"/>
      <c r="F1032" s="18">
        <v>90020</v>
      </c>
      <c r="G1032" s="19" t="s">
        <v>1204</v>
      </c>
      <c r="H1032" s="18">
        <v>1</v>
      </c>
      <c r="I1032" s="18" t="s">
        <v>146</v>
      </c>
    </row>
    <row r="1033" spans="1:9" ht="15.75" customHeight="1" x14ac:dyDescent="0.2">
      <c r="A1033" s="18" t="s">
        <v>44</v>
      </c>
      <c r="B1033" s="19" t="s">
        <v>1165</v>
      </c>
      <c r="C1033" s="19" t="s">
        <v>1177</v>
      </c>
      <c r="D1033" s="18" t="s">
        <v>1167</v>
      </c>
      <c r="E1033" s="114"/>
      <c r="F1033" s="18">
        <v>90021</v>
      </c>
      <c r="G1033" s="19" t="s">
        <v>1205</v>
      </c>
      <c r="H1033" s="18">
        <v>1</v>
      </c>
      <c r="I1033" s="18" t="s">
        <v>146</v>
      </c>
    </row>
    <row r="1034" spans="1:9" ht="15.75" customHeight="1" x14ac:dyDescent="0.2">
      <c r="A1034" s="18" t="s">
        <v>44</v>
      </c>
      <c r="B1034" s="19" t="s">
        <v>1165</v>
      </c>
      <c r="C1034" s="19" t="s">
        <v>1177</v>
      </c>
      <c r="D1034" s="18" t="s">
        <v>1169</v>
      </c>
      <c r="E1034" s="114"/>
      <c r="F1034" s="18">
        <v>90022</v>
      </c>
      <c r="G1034" s="19" t="s">
        <v>1206</v>
      </c>
      <c r="H1034" s="18">
        <v>1</v>
      </c>
      <c r="I1034" s="18" t="s">
        <v>146</v>
      </c>
    </row>
    <row r="1035" spans="1:9" ht="15.75" customHeight="1" x14ac:dyDescent="0.2">
      <c r="A1035" s="18" t="s">
        <v>44</v>
      </c>
      <c r="B1035" s="19" t="s">
        <v>1165</v>
      </c>
      <c r="C1035" s="19" t="s">
        <v>1177</v>
      </c>
      <c r="D1035" s="18" t="s">
        <v>1171</v>
      </c>
      <c r="E1035" s="114"/>
      <c r="F1035" s="18">
        <v>90023</v>
      </c>
      <c r="G1035" s="19" t="s">
        <v>1207</v>
      </c>
      <c r="H1035" s="18">
        <v>1</v>
      </c>
      <c r="I1035" s="18" t="s">
        <v>146</v>
      </c>
    </row>
    <row r="1036" spans="1:9" ht="15.75" customHeight="1" x14ac:dyDescent="0.2">
      <c r="A1036" s="18" t="s">
        <v>44</v>
      </c>
      <c r="B1036" s="19" t="s">
        <v>1165</v>
      </c>
      <c r="C1036" s="19" t="s">
        <v>1177</v>
      </c>
      <c r="D1036" s="18" t="s">
        <v>1167</v>
      </c>
      <c r="E1036" s="114"/>
      <c r="F1036" s="18">
        <v>90024</v>
      </c>
      <c r="G1036" s="19" t="s">
        <v>1208</v>
      </c>
      <c r="H1036" s="18">
        <v>1</v>
      </c>
      <c r="I1036" s="18" t="s">
        <v>146</v>
      </c>
    </row>
    <row r="1037" spans="1:9" ht="15.75" customHeight="1" x14ac:dyDescent="0.2">
      <c r="A1037" s="18" t="s">
        <v>44</v>
      </c>
      <c r="B1037" s="19" t="s">
        <v>1165</v>
      </c>
      <c r="C1037" s="19" t="s">
        <v>1177</v>
      </c>
      <c r="D1037" s="18" t="s">
        <v>1169</v>
      </c>
      <c r="E1037" s="114"/>
      <c r="F1037" s="18">
        <v>90025</v>
      </c>
      <c r="G1037" s="19" t="s">
        <v>1209</v>
      </c>
      <c r="H1037" s="18">
        <v>1</v>
      </c>
      <c r="I1037" s="18" t="s">
        <v>146</v>
      </c>
    </row>
    <row r="1038" spans="1:9" ht="15.75" customHeight="1" x14ac:dyDescent="0.2">
      <c r="A1038" s="18" t="s">
        <v>44</v>
      </c>
      <c r="B1038" s="19" t="s">
        <v>1165</v>
      </c>
      <c r="C1038" s="19" t="s">
        <v>1177</v>
      </c>
      <c r="D1038" s="18" t="s">
        <v>1171</v>
      </c>
      <c r="E1038" s="114"/>
      <c r="F1038" s="18">
        <v>90026</v>
      </c>
      <c r="G1038" s="19" t="s">
        <v>1210</v>
      </c>
      <c r="H1038" s="18">
        <v>1</v>
      </c>
      <c r="I1038" s="18" t="s">
        <v>146</v>
      </c>
    </row>
    <row r="1039" spans="1:9" ht="15.75" customHeight="1" x14ac:dyDescent="0.2">
      <c r="A1039" s="18" t="s">
        <v>44</v>
      </c>
      <c r="B1039" s="19" t="s">
        <v>1165</v>
      </c>
      <c r="C1039" s="19" t="s">
        <v>1177</v>
      </c>
      <c r="D1039" s="18" t="s">
        <v>1167</v>
      </c>
      <c r="E1039" s="114"/>
      <c r="F1039" s="18">
        <v>90027</v>
      </c>
      <c r="G1039" s="19" t="s">
        <v>1211</v>
      </c>
      <c r="H1039" s="18">
        <v>1</v>
      </c>
      <c r="I1039" s="18" t="s">
        <v>146</v>
      </c>
    </row>
    <row r="1040" spans="1:9" ht="15.75" customHeight="1" x14ac:dyDescent="0.2">
      <c r="A1040" s="18" t="s">
        <v>44</v>
      </c>
      <c r="B1040" s="19" t="s">
        <v>1165</v>
      </c>
      <c r="C1040" s="19" t="s">
        <v>1177</v>
      </c>
      <c r="D1040" s="18" t="s">
        <v>1169</v>
      </c>
      <c r="E1040" s="114"/>
      <c r="F1040" s="18">
        <v>90028</v>
      </c>
      <c r="G1040" s="19" t="s">
        <v>1212</v>
      </c>
      <c r="H1040" s="18">
        <v>1</v>
      </c>
      <c r="I1040" s="18" t="s">
        <v>146</v>
      </c>
    </row>
    <row r="1041" spans="1:9" ht="15.75" customHeight="1" x14ac:dyDescent="0.2">
      <c r="A1041" s="18" t="s">
        <v>44</v>
      </c>
      <c r="B1041" s="19" t="s">
        <v>1165</v>
      </c>
      <c r="C1041" s="19" t="s">
        <v>1177</v>
      </c>
      <c r="D1041" s="18" t="s">
        <v>1171</v>
      </c>
      <c r="E1041" s="114"/>
      <c r="F1041" s="18">
        <v>90029</v>
      </c>
      <c r="G1041" s="19" t="s">
        <v>1213</v>
      </c>
      <c r="H1041" s="18">
        <v>1</v>
      </c>
      <c r="I1041" s="18" t="s">
        <v>146</v>
      </c>
    </row>
    <row r="1042" spans="1:9" ht="15.75" customHeight="1" x14ac:dyDescent="0.2">
      <c r="A1042" s="18" t="s">
        <v>44</v>
      </c>
      <c r="B1042" s="19" t="s">
        <v>1165</v>
      </c>
      <c r="C1042" s="19" t="s">
        <v>1177</v>
      </c>
      <c r="D1042" s="18" t="s">
        <v>1214</v>
      </c>
      <c r="E1042" s="114" t="e" vm="217">
        <v>#VALUE!</v>
      </c>
      <c r="F1042" s="18">
        <v>90030</v>
      </c>
      <c r="G1042" s="19" t="s">
        <v>1215</v>
      </c>
      <c r="H1042" s="18">
        <v>1</v>
      </c>
      <c r="I1042" s="18" t="s">
        <v>146</v>
      </c>
    </row>
    <row r="1043" spans="1:9" ht="15.75" customHeight="1" x14ac:dyDescent="0.2">
      <c r="A1043" s="18" t="s">
        <v>44</v>
      </c>
      <c r="B1043" s="19" t="s">
        <v>1165</v>
      </c>
      <c r="C1043" s="19" t="s">
        <v>1177</v>
      </c>
      <c r="D1043" s="18" t="s">
        <v>1214</v>
      </c>
      <c r="E1043" s="114"/>
      <c r="F1043" s="18">
        <v>90031</v>
      </c>
      <c r="G1043" s="19" t="s">
        <v>1216</v>
      </c>
      <c r="H1043" s="18">
        <v>1</v>
      </c>
      <c r="I1043" s="18" t="s">
        <v>146</v>
      </c>
    </row>
    <row r="1044" spans="1:9" ht="15.75" customHeight="1" x14ac:dyDescent="0.2">
      <c r="A1044" s="18" t="s">
        <v>44</v>
      </c>
      <c r="B1044" s="19" t="s">
        <v>1165</v>
      </c>
      <c r="C1044" s="19" t="s">
        <v>1177</v>
      </c>
      <c r="D1044" s="18" t="s">
        <v>1214</v>
      </c>
      <c r="E1044" s="114"/>
      <c r="F1044" s="18">
        <v>90032</v>
      </c>
      <c r="G1044" s="19" t="s">
        <v>1217</v>
      </c>
      <c r="H1044" s="18">
        <v>1</v>
      </c>
      <c r="I1044" s="18" t="s">
        <v>146</v>
      </c>
    </row>
    <row r="1045" spans="1:9" ht="15.75" customHeight="1" x14ac:dyDescent="0.2">
      <c r="A1045" s="18" t="s">
        <v>44</v>
      </c>
      <c r="B1045" s="19" t="s">
        <v>1165</v>
      </c>
      <c r="C1045" s="19" t="s">
        <v>1177</v>
      </c>
      <c r="D1045" s="18" t="s">
        <v>1214</v>
      </c>
      <c r="E1045" s="114"/>
      <c r="F1045" s="18">
        <v>90033</v>
      </c>
      <c r="G1045" s="19" t="s">
        <v>1218</v>
      </c>
      <c r="H1045" s="18">
        <v>1</v>
      </c>
      <c r="I1045" s="18" t="s">
        <v>146</v>
      </c>
    </row>
    <row r="1046" spans="1:9" ht="15.75" customHeight="1" x14ac:dyDescent="0.2">
      <c r="A1046" s="18" t="s">
        <v>44</v>
      </c>
      <c r="B1046" s="19" t="s">
        <v>1165</v>
      </c>
      <c r="C1046" s="19" t="s">
        <v>1177</v>
      </c>
      <c r="D1046" s="18" t="s">
        <v>1178</v>
      </c>
      <c r="E1046" s="114" t="e" vm="218">
        <v>#VALUE!</v>
      </c>
      <c r="F1046" s="18">
        <v>90039</v>
      </c>
      <c r="G1046" s="19" t="s">
        <v>1219</v>
      </c>
      <c r="H1046" s="18">
        <v>1</v>
      </c>
      <c r="I1046" s="18" t="s">
        <v>146</v>
      </c>
    </row>
    <row r="1047" spans="1:9" ht="15.75" customHeight="1" x14ac:dyDescent="0.2">
      <c r="A1047" s="18" t="s">
        <v>44</v>
      </c>
      <c r="B1047" s="19" t="s">
        <v>1165</v>
      </c>
      <c r="C1047" s="19" t="s">
        <v>1177</v>
      </c>
      <c r="D1047" s="18" t="s">
        <v>1178</v>
      </c>
      <c r="E1047" s="114"/>
      <c r="F1047" s="18">
        <v>90040</v>
      </c>
      <c r="G1047" s="19" t="s">
        <v>1220</v>
      </c>
      <c r="H1047" s="18">
        <v>1</v>
      </c>
      <c r="I1047" s="18" t="s">
        <v>146</v>
      </c>
    </row>
    <row r="1048" spans="1:9" ht="15.75" customHeight="1" x14ac:dyDescent="0.2">
      <c r="A1048" s="18" t="s">
        <v>44</v>
      </c>
      <c r="B1048" s="19" t="s">
        <v>1165</v>
      </c>
      <c r="C1048" s="19" t="s">
        <v>1177</v>
      </c>
      <c r="D1048" s="18" t="s">
        <v>1214</v>
      </c>
      <c r="E1048" s="114"/>
      <c r="F1048" s="18">
        <v>90041</v>
      </c>
      <c r="G1048" s="19" t="s">
        <v>1221</v>
      </c>
      <c r="H1048" s="18">
        <v>1</v>
      </c>
      <c r="I1048" s="18" t="s">
        <v>146</v>
      </c>
    </row>
    <row r="1049" spans="1:9" ht="15.75" customHeight="1" x14ac:dyDescent="0.2">
      <c r="A1049" s="18" t="s">
        <v>44</v>
      </c>
      <c r="B1049" s="19" t="s">
        <v>1165</v>
      </c>
      <c r="C1049" s="19" t="s">
        <v>1177</v>
      </c>
      <c r="D1049" s="18" t="s">
        <v>1167</v>
      </c>
      <c r="E1049" s="114" t="e" vm="219">
        <v>#VALUE!</v>
      </c>
      <c r="F1049" s="18">
        <v>90042</v>
      </c>
      <c r="G1049" s="19" t="s">
        <v>1222</v>
      </c>
      <c r="H1049" s="18">
        <v>1</v>
      </c>
      <c r="I1049" s="18" t="s">
        <v>146</v>
      </c>
    </row>
    <row r="1050" spans="1:9" ht="15.75" customHeight="1" x14ac:dyDescent="0.2">
      <c r="A1050" s="18" t="s">
        <v>44</v>
      </c>
      <c r="B1050" s="19" t="s">
        <v>1165</v>
      </c>
      <c r="C1050" s="19" t="s">
        <v>1177</v>
      </c>
      <c r="D1050" s="18" t="s">
        <v>1169</v>
      </c>
      <c r="E1050" s="114"/>
      <c r="F1050" s="18">
        <v>90043</v>
      </c>
      <c r="G1050" s="19" t="s">
        <v>1223</v>
      </c>
      <c r="H1050" s="18">
        <v>1</v>
      </c>
      <c r="I1050" s="18" t="s">
        <v>146</v>
      </c>
    </row>
    <row r="1051" spans="1:9" ht="15.75" customHeight="1" x14ac:dyDescent="0.2">
      <c r="A1051" s="18" t="s">
        <v>44</v>
      </c>
      <c r="B1051" s="19" t="s">
        <v>1165</v>
      </c>
      <c r="C1051" s="19" t="s">
        <v>1177</v>
      </c>
      <c r="D1051" s="18" t="s">
        <v>1171</v>
      </c>
      <c r="E1051" s="114"/>
      <c r="F1051" s="18">
        <v>90044</v>
      </c>
      <c r="G1051" s="19" t="s">
        <v>1224</v>
      </c>
      <c r="H1051" s="18">
        <v>1</v>
      </c>
      <c r="I1051" s="18" t="s">
        <v>146</v>
      </c>
    </row>
    <row r="1052" spans="1:9" ht="15.75" customHeight="1" x14ac:dyDescent="0.2">
      <c r="A1052" s="18" t="s">
        <v>44</v>
      </c>
      <c r="B1052" s="19" t="s">
        <v>1165</v>
      </c>
      <c r="C1052" s="19" t="s">
        <v>1177</v>
      </c>
      <c r="D1052" s="18" t="s">
        <v>1178</v>
      </c>
      <c r="E1052" s="114" t="e" vm="220">
        <v>#VALUE!</v>
      </c>
      <c r="F1052" s="18">
        <v>90045</v>
      </c>
      <c r="G1052" s="19" t="s">
        <v>1225</v>
      </c>
      <c r="H1052" s="18">
        <v>1</v>
      </c>
      <c r="I1052" s="18" t="s">
        <v>146</v>
      </c>
    </row>
    <row r="1053" spans="1:9" ht="15.75" customHeight="1" x14ac:dyDescent="0.2">
      <c r="A1053" s="18" t="s">
        <v>44</v>
      </c>
      <c r="B1053" s="19" t="s">
        <v>1165</v>
      </c>
      <c r="C1053" s="19" t="s">
        <v>1177</v>
      </c>
      <c r="D1053" s="18" t="s">
        <v>1178</v>
      </c>
      <c r="E1053" s="114"/>
      <c r="F1053" s="18">
        <v>90046</v>
      </c>
      <c r="G1053" s="19" t="s">
        <v>1226</v>
      </c>
      <c r="H1053" s="18">
        <v>1</v>
      </c>
      <c r="I1053" s="18" t="s">
        <v>146</v>
      </c>
    </row>
    <row r="1054" spans="1:9" ht="15.75" customHeight="1" x14ac:dyDescent="0.2">
      <c r="A1054" s="18" t="s">
        <v>44</v>
      </c>
      <c r="B1054" s="19" t="s">
        <v>1165</v>
      </c>
      <c r="C1054" s="19" t="s">
        <v>1177</v>
      </c>
      <c r="D1054" s="18" t="s">
        <v>1214</v>
      </c>
      <c r="E1054" s="114"/>
      <c r="F1054" s="18">
        <v>90047</v>
      </c>
      <c r="G1054" s="19" t="s">
        <v>1227</v>
      </c>
      <c r="H1054" s="18">
        <v>1</v>
      </c>
      <c r="I1054" s="18" t="s">
        <v>146</v>
      </c>
    </row>
    <row r="1055" spans="1:9" ht="15.75" customHeight="1" x14ac:dyDescent="0.2">
      <c r="A1055" s="18" t="s">
        <v>44</v>
      </c>
      <c r="B1055" s="19" t="s">
        <v>1165</v>
      </c>
      <c r="C1055" s="19" t="s">
        <v>1177</v>
      </c>
      <c r="D1055" s="18" t="s">
        <v>1167</v>
      </c>
      <c r="E1055" s="114" t="e" vm="221">
        <v>#VALUE!</v>
      </c>
      <c r="F1055" s="18">
        <v>90048</v>
      </c>
      <c r="G1055" s="19" t="s">
        <v>1228</v>
      </c>
      <c r="H1055" s="18">
        <v>1</v>
      </c>
      <c r="I1055" s="18" t="s">
        <v>146</v>
      </c>
    </row>
    <row r="1056" spans="1:9" ht="15.75" customHeight="1" x14ac:dyDescent="0.2">
      <c r="A1056" s="18" t="s">
        <v>44</v>
      </c>
      <c r="B1056" s="19" t="s">
        <v>1165</v>
      </c>
      <c r="C1056" s="19" t="s">
        <v>1177</v>
      </c>
      <c r="D1056" s="18" t="s">
        <v>1169</v>
      </c>
      <c r="E1056" s="114"/>
      <c r="F1056" s="18">
        <v>90049</v>
      </c>
      <c r="G1056" s="19" t="s">
        <v>1229</v>
      </c>
      <c r="H1056" s="18">
        <v>1</v>
      </c>
      <c r="I1056" s="18" t="s">
        <v>146</v>
      </c>
    </row>
    <row r="1057" spans="1:9" ht="15.75" customHeight="1" x14ac:dyDescent="0.2">
      <c r="A1057" s="18" t="s">
        <v>44</v>
      </c>
      <c r="B1057" s="19" t="s">
        <v>1165</v>
      </c>
      <c r="C1057" s="19" t="s">
        <v>1177</v>
      </c>
      <c r="D1057" s="18" t="s">
        <v>1171</v>
      </c>
      <c r="E1057" s="114"/>
      <c r="F1057" s="18">
        <v>90050</v>
      </c>
      <c r="G1057" s="19" t="s">
        <v>1230</v>
      </c>
      <c r="H1057" s="18">
        <v>1</v>
      </c>
      <c r="I1057" s="18" t="s">
        <v>146</v>
      </c>
    </row>
    <row r="1058" spans="1:9" ht="15.75" customHeight="1" x14ac:dyDescent="0.2">
      <c r="A1058" s="18" t="s">
        <v>44</v>
      </c>
      <c r="B1058" s="19" t="s">
        <v>1165</v>
      </c>
      <c r="C1058" s="19" t="s">
        <v>1177</v>
      </c>
      <c r="D1058" s="38" t="s">
        <v>1231</v>
      </c>
      <c r="E1058" s="114" t="e" vm="222">
        <v>#VALUE!</v>
      </c>
      <c r="F1058" s="18">
        <v>90051</v>
      </c>
      <c r="G1058" s="19" t="s">
        <v>1232</v>
      </c>
      <c r="H1058" s="18">
        <v>1</v>
      </c>
      <c r="I1058" s="18" t="s">
        <v>146</v>
      </c>
    </row>
    <row r="1059" spans="1:9" ht="15.75" customHeight="1" x14ac:dyDescent="0.2">
      <c r="A1059" s="18" t="s">
        <v>44</v>
      </c>
      <c r="B1059" s="19" t="s">
        <v>1165</v>
      </c>
      <c r="C1059" s="19" t="s">
        <v>1177</v>
      </c>
      <c r="D1059" s="38" t="s">
        <v>1233</v>
      </c>
      <c r="E1059" s="114"/>
      <c r="F1059" s="18">
        <v>90052</v>
      </c>
      <c r="G1059" s="19" t="s">
        <v>1234</v>
      </c>
      <c r="H1059" s="18">
        <v>1</v>
      </c>
      <c r="I1059" s="18" t="s">
        <v>146</v>
      </c>
    </row>
    <row r="1060" spans="1:9" ht="15.75" customHeight="1" x14ac:dyDescent="0.2">
      <c r="A1060" s="18" t="s">
        <v>44</v>
      </c>
      <c r="B1060" s="19" t="s">
        <v>1165</v>
      </c>
      <c r="C1060" s="19" t="s">
        <v>1177</v>
      </c>
      <c r="D1060" s="18" t="s">
        <v>1175</v>
      </c>
      <c r="E1060" s="114"/>
      <c r="F1060" s="18">
        <v>90053</v>
      </c>
      <c r="G1060" s="19" t="s">
        <v>1235</v>
      </c>
      <c r="H1060" s="18">
        <v>1</v>
      </c>
      <c r="I1060" s="18" t="s">
        <v>146</v>
      </c>
    </row>
    <row r="1061" spans="1:9" ht="15.75" customHeight="1" x14ac:dyDescent="0.2">
      <c r="A1061" s="18" t="s">
        <v>44</v>
      </c>
      <c r="B1061" s="19" t="s">
        <v>1165</v>
      </c>
      <c r="C1061" s="19" t="s">
        <v>1236</v>
      </c>
      <c r="D1061" s="18" t="s">
        <v>1173</v>
      </c>
      <c r="E1061" s="125" t="e" vm="223">
        <v>#VALUE!</v>
      </c>
      <c r="F1061" s="18">
        <v>90060</v>
      </c>
      <c r="G1061" s="19" t="s">
        <v>1237</v>
      </c>
      <c r="H1061" s="18">
        <v>1</v>
      </c>
      <c r="I1061" s="18" t="s">
        <v>146</v>
      </c>
    </row>
    <row r="1062" spans="1:9" ht="15.75" customHeight="1" x14ac:dyDescent="0.2">
      <c r="A1062" s="18" t="s">
        <v>44</v>
      </c>
      <c r="B1062" s="19" t="s">
        <v>1165</v>
      </c>
      <c r="C1062" s="19" t="s">
        <v>1236</v>
      </c>
      <c r="D1062" s="18" t="s">
        <v>1214</v>
      </c>
      <c r="E1062" s="108"/>
      <c r="F1062" s="18">
        <v>90061</v>
      </c>
      <c r="G1062" s="19" t="s">
        <v>1238</v>
      </c>
      <c r="H1062" s="18">
        <v>1</v>
      </c>
      <c r="I1062" s="18" t="s">
        <v>146</v>
      </c>
    </row>
    <row r="1063" spans="1:9" ht="15.75" customHeight="1" x14ac:dyDescent="0.2">
      <c r="A1063" s="18" t="s">
        <v>44</v>
      </c>
      <c r="B1063" s="19" t="s">
        <v>1165</v>
      </c>
      <c r="C1063" s="19" t="s">
        <v>1236</v>
      </c>
      <c r="D1063" s="18" t="s">
        <v>1214</v>
      </c>
      <c r="E1063" s="108"/>
      <c r="F1063" s="18">
        <v>90062</v>
      </c>
      <c r="G1063" s="19" t="s">
        <v>1239</v>
      </c>
      <c r="H1063" s="18">
        <v>1</v>
      </c>
      <c r="I1063" s="18" t="s">
        <v>146</v>
      </c>
    </row>
    <row r="1064" spans="1:9" ht="15.75" customHeight="1" x14ac:dyDescent="0.2">
      <c r="A1064" s="18" t="s">
        <v>44</v>
      </c>
      <c r="B1064" s="19" t="s">
        <v>1165</v>
      </c>
      <c r="C1064" s="19" t="s">
        <v>1236</v>
      </c>
      <c r="D1064" s="18" t="s">
        <v>1214</v>
      </c>
      <c r="E1064" s="108"/>
      <c r="F1064" s="18">
        <v>90063</v>
      </c>
      <c r="G1064" s="19" t="s">
        <v>1240</v>
      </c>
      <c r="H1064" s="18">
        <v>1</v>
      </c>
      <c r="I1064" s="18" t="s">
        <v>146</v>
      </c>
    </row>
    <row r="1065" spans="1:9" ht="15.75" customHeight="1" x14ac:dyDescent="0.2">
      <c r="A1065" s="18" t="s">
        <v>44</v>
      </c>
      <c r="B1065" s="19" t="s">
        <v>1165</v>
      </c>
      <c r="C1065" s="19" t="s">
        <v>1236</v>
      </c>
      <c r="D1065" s="18" t="s">
        <v>1214</v>
      </c>
      <c r="E1065" s="108"/>
      <c r="F1065" s="18">
        <v>90064</v>
      </c>
      <c r="G1065" s="19" t="s">
        <v>1241</v>
      </c>
      <c r="H1065" s="18">
        <v>1</v>
      </c>
      <c r="I1065" s="18" t="s">
        <v>146</v>
      </c>
    </row>
    <row r="1066" spans="1:9" ht="15.75" customHeight="1" x14ac:dyDescent="0.2">
      <c r="A1066" s="18" t="s">
        <v>44</v>
      </c>
      <c r="B1066" s="19" t="s">
        <v>1165</v>
      </c>
      <c r="C1066" s="19" t="s">
        <v>1236</v>
      </c>
      <c r="D1066" s="18" t="s">
        <v>1173</v>
      </c>
      <c r="E1066" s="108"/>
      <c r="F1066" s="18">
        <v>90065</v>
      </c>
      <c r="G1066" s="19" t="s">
        <v>1242</v>
      </c>
      <c r="H1066" s="18">
        <v>1</v>
      </c>
      <c r="I1066" s="18" t="s">
        <v>146</v>
      </c>
    </row>
    <row r="1067" spans="1:9" ht="15.75" customHeight="1" x14ac:dyDescent="0.2">
      <c r="A1067" s="18" t="s">
        <v>44</v>
      </c>
      <c r="B1067" s="19" t="s">
        <v>1165</v>
      </c>
      <c r="C1067" s="19" t="s">
        <v>1236</v>
      </c>
      <c r="D1067" s="18" t="s">
        <v>1173</v>
      </c>
      <c r="E1067" s="108"/>
      <c r="F1067" s="18">
        <v>90066</v>
      </c>
      <c r="G1067" s="19" t="s">
        <v>1243</v>
      </c>
      <c r="H1067" s="18">
        <v>1</v>
      </c>
      <c r="I1067" s="18" t="s">
        <v>146</v>
      </c>
    </row>
    <row r="1068" spans="1:9" ht="15.75" customHeight="1" x14ac:dyDescent="0.2">
      <c r="A1068" s="18" t="s">
        <v>44</v>
      </c>
      <c r="B1068" s="19" t="s">
        <v>1165</v>
      </c>
      <c r="C1068" s="19" t="s">
        <v>1236</v>
      </c>
      <c r="D1068" s="18" t="s">
        <v>1173</v>
      </c>
      <c r="E1068" s="108"/>
      <c r="F1068" s="18">
        <v>90067</v>
      </c>
      <c r="G1068" s="19" t="s">
        <v>1244</v>
      </c>
      <c r="H1068" s="18">
        <v>1</v>
      </c>
      <c r="I1068" s="18" t="s">
        <v>146</v>
      </c>
    </row>
    <row r="1069" spans="1:9" ht="15.75" customHeight="1" x14ac:dyDescent="0.2">
      <c r="A1069" s="18" t="s">
        <v>44</v>
      </c>
      <c r="B1069" s="19" t="s">
        <v>1165</v>
      </c>
      <c r="C1069" s="19" t="s">
        <v>1236</v>
      </c>
      <c r="D1069" s="18" t="s">
        <v>1173</v>
      </c>
      <c r="E1069" s="108"/>
      <c r="F1069" s="18">
        <v>90069</v>
      </c>
      <c r="G1069" s="19" t="s">
        <v>1245</v>
      </c>
      <c r="H1069" s="18">
        <v>1</v>
      </c>
      <c r="I1069" s="18" t="s">
        <v>146</v>
      </c>
    </row>
    <row r="1070" spans="1:9" ht="15.75" customHeight="1" x14ac:dyDescent="0.2">
      <c r="A1070" s="18" t="s">
        <v>44</v>
      </c>
      <c r="B1070" s="19" t="s">
        <v>1165</v>
      </c>
      <c r="C1070" s="19" t="s">
        <v>1236</v>
      </c>
      <c r="D1070" s="18" t="s">
        <v>1167</v>
      </c>
      <c r="E1070" s="108"/>
      <c r="F1070" s="18">
        <v>90070</v>
      </c>
      <c r="G1070" s="19" t="s">
        <v>1246</v>
      </c>
      <c r="H1070" s="18">
        <v>1</v>
      </c>
      <c r="I1070" s="18" t="s">
        <v>146</v>
      </c>
    </row>
    <row r="1071" spans="1:9" ht="15.75" customHeight="1" x14ac:dyDescent="0.2">
      <c r="A1071" s="18" t="s">
        <v>44</v>
      </c>
      <c r="B1071" s="19" t="s">
        <v>1165</v>
      </c>
      <c r="C1071" s="19" t="s">
        <v>1236</v>
      </c>
      <c r="D1071" s="18" t="s">
        <v>1167</v>
      </c>
      <c r="E1071" s="108"/>
      <c r="F1071" s="18">
        <v>90071</v>
      </c>
      <c r="G1071" s="19" t="s">
        <v>1247</v>
      </c>
      <c r="H1071" s="18">
        <v>1</v>
      </c>
      <c r="I1071" s="18" t="s">
        <v>146</v>
      </c>
    </row>
    <row r="1072" spans="1:9" ht="15.75" customHeight="1" x14ac:dyDescent="0.2">
      <c r="A1072" s="18" t="s">
        <v>44</v>
      </c>
      <c r="B1072" s="19" t="s">
        <v>1165</v>
      </c>
      <c r="C1072" s="19" t="s">
        <v>1236</v>
      </c>
      <c r="D1072" s="18" t="s">
        <v>1214</v>
      </c>
      <c r="E1072" s="108" t="e" vm="224">
        <v>#VALUE!</v>
      </c>
      <c r="F1072" s="18">
        <v>90073</v>
      </c>
      <c r="G1072" s="19" t="s">
        <v>1248</v>
      </c>
      <c r="H1072" s="18">
        <v>1</v>
      </c>
      <c r="I1072" s="18" t="s">
        <v>146</v>
      </c>
    </row>
    <row r="1073" spans="1:9" ht="15.75" customHeight="1" x14ac:dyDescent="0.2">
      <c r="A1073" s="18" t="s">
        <v>44</v>
      </c>
      <c r="B1073" s="19" t="s">
        <v>1165</v>
      </c>
      <c r="C1073" s="19" t="s">
        <v>1236</v>
      </c>
      <c r="D1073" s="18" t="s">
        <v>1214</v>
      </c>
      <c r="E1073" s="109"/>
      <c r="F1073" s="18">
        <v>90074</v>
      </c>
      <c r="G1073" s="19" t="s">
        <v>1249</v>
      </c>
      <c r="H1073" s="18">
        <v>1</v>
      </c>
      <c r="I1073" s="18" t="s">
        <v>146</v>
      </c>
    </row>
    <row r="1074" spans="1:9" ht="15.75" customHeight="1" x14ac:dyDescent="0.2">
      <c r="A1074" s="18" t="s">
        <v>44</v>
      </c>
      <c r="B1074" s="19" t="s">
        <v>1165</v>
      </c>
      <c r="C1074" s="19" t="s">
        <v>1236</v>
      </c>
      <c r="D1074" s="18" t="s">
        <v>1214</v>
      </c>
      <c r="E1074" s="109"/>
      <c r="F1074" s="18">
        <v>90075</v>
      </c>
      <c r="G1074" s="19" t="s">
        <v>1250</v>
      </c>
      <c r="H1074" s="18">
        <v>1</v>
      </c>
      <c r="I1074" s="18" t="s">
        <v>146</v>
      </c>
    </row>
    <row r="1075" spans="1:9" ht="15.75" customHeight="1" x14ac:dyDescent="0.2">
      <c r="A1075" s="18" t="s">
        <v>44</v>
      </c>
      <c r="B1075" s="19" t="s">
        <v>1165</v>
      </c>
      <c r="C1075" s="19" t="s">
        <v>1236</v>
      </c>
      <c r="D1075" s="18" t="s">
        <v>1173</v>
      </c>
      <c r="E1075" s="109"/>
      <c r="F1075" s="18">
        <v>90076</v>
      </c>
      <c r="G1075" s="19" t="s">
        <v>1251</v>
      </c>
      <c r="H1075" s="18">
        <v>1</v>
      </c>
      <c r="I1075" s="18" t="s">
        <v>146</v>
      </c>
    </row>
    <row r="1076" spans="1:9" ht="15.75" customHeight="1" x14ac:dyDescent="0.2">
      <c r="A1076" s="18" t="s">
        <v>44</v>
      </c>
      <c r="B1076" s="19" t="s">
        <v>1165</v>
      </c>
      <c r="C1076" s="19" t="s">
        <v>1236</v>
      </c>
      <c r="D1076" s="18" t="s">
        <v>1173</v>
      </c>
      <c r="E1076" s="109"/>
      <c r="F1076" s="18">
        <v>90077</v>
      </c>
      <c r="G1076" s="19" t="s">
        <v>1252</v>
      </c>
      <c r="H1076" s="18">
        <v>1</v>
      </c>
      <c r="I1076" s="18" t="s">
        <v>146</v>
      </c>
    </row>
    <row r="1077" spans="1:9" ht="15.75" customHeight="1" x14ac:dyDescent="0.2">
      <c r="A1077" s="18" t="s">
        <v>44</v>
      </c>
      <c r="B1077" s="19" t="s">
        <v>1165</v>
      </c>
      <c r="C1077" s="19" t="s">
        <v>1236</v>
      </c>
      <c r="D1077" s="18" t="s">
        <v>1214</v>
      </c>
      <c r="E1077" s="106" t="e" vm="225">
        <v>#VALUE!</v>
      </c>
      <c r="F1077" s="18">
        <v>90080</v>
      </c>
      <c r="G1077" s="19" t="s">
        <v>1253</v>
      </c>
      <c r="H1077" s="18">
        <v>1</v>
      </c>
      <c r="I1077" s="18" t="s">
        <v>146</v>
      </c>
    </row>
    <row r="1078" spans="1:9" ht="15.75" customHeight="1" x14ac:dyDescent="0.2">
      <c r="A1078" s="18" t="s">
        <v>44</v>
      </c>
      <c r="B1078" s="19" t="s">
        <v>1165</v>
      </c>
      <c r="C1078" s="19" t="s">
        <v>1236</v>
      </c>
      <c r="D1078" s="18" t="s">
        <v>1214</v>
      </c>
      <c r="E1078" s="104"/>
      <c r="F1078" s="18">
        <v>90081</v>
      </c>
      <c r="G1078" s="19" t="s">
        <v>1254</v>
      </c>
      <c r="H1078" s="18">
        <v>1</v>
      </c>
      <c r="I1078" s="18" t="s">
        <v>146</v>
      </c>
    </row>
    <row r="1079" spans="1:9" ht="15.75" customHeight="1" x14ac:dyDescent="0.2">
      <c r="A1079" s="18" t="s">
        <v>44</v>
      </c>
      <c r="B1079" s="19" t="s">
        <v>1165</v>
      </c>
      <c r="C1079" s="19" t="s">
        <v>1236</v>
      </c>
      <c r="D1079" s="18" t="s">
        <v>1173</v>
      </c>
      <c r="E1079" s="104"/>
      <c r="F1079" s="18">
        <v>90082</v>
      </c>
      <c r="G1079" s="19" t="s">
        <v>1255</v>
      </c>
      <c r="H1079" s="18">
        <v>1</v>
      </c>
      <c r="I1079" s="18" t="s">
        <v>146</v>
      </c>
    </row>
    <row r="1080" spans="1:9" ht="15.75" customHeight="1" x14ac:dyDescent="0.2">
      <c r="A1080" s="18" t="s">
        <v>44</v>
      </c>
      <c r="B1080" s="19" t="s">
        <v>1165</v>
      </c>
      <c r="C1080" s="19" t="s">
        <v>1236</v>
      </c>
      <c r="D1080" s="18" t="s">
        <v>1173</v>
      </c>
      <c r="E1080" s="105"/>
      <c r="F1080" s="18">
        <v>90083</v>
      </c>
      <c r="G1080" s="19" t="s">
        <v>1256</v>
      </c>
      <c r="H1080" s="18">
        <v>1</v>
      </c>
      <c r="I1080" s="18" t="s">
        <v>146</v>
      </c>
    </row>
    <row r="1081" spans="1:9" ht="15.75" customHeight="1" x14ac:dyDescent="0.2">
      <c r="A1081" s="18" t="s">
        <v>44</v>
      </c>
      <c r="B1081" s="19" t="s">
        <v>1165</v>
      </c>
      <c r="C1081" s="19" t="s">
        <v>1236</v>
      </c>
      <c r="D1081" s="18" t="s">
        <v>1214</v>
      </c>
      <c r="E1081" s="115" t="e" vm="226">
        <v>#VALUE!</v>
      </c>
      <c r="F1081" s="18">
        <v>90084</v>
      </c>
      <c r="G1081" s="19" t="s">
        <v>1257</v>
      </c>
      <c r="H1081" s="18">
        <v>1</v>
      </c>
      <c r="I1081" s="18" t="s">
        <v>146</v>
      </c>
    </row>
    <row r="1082" spans="1:9" ht="15.75" customHeight="1" x14ac:dyDescent="0.2">
      <c r="A1082" s="18" t="s">
        <v>44</v>
      </c>
      <c r="B1082" s="19" t="s">
        <v>1165</v>
      </c>
      <c r="C1082" s="19" t="s">
        <v>1236</v>
      </c>
      <c r="D1082" s="18" t="s">
        <v>1214</v>
      </c>
      <c r="E1082" s="116"/>
      <c r="F1082" s="18">
        <v>90085</v>
      </c>
      <c r="G1082" s="19" t="s">
        <v>1258</v>
      </c>
      <c r="H1082" s="18">
        <v>1</v>
      </c>
      <c r="I1082" s="18" t="s">
        <v>146</v>
      </c>
    </row>
    <row r="1083" spans="1:9" ht="15.75" customHeight="1" x14ac:dyDescent="0.2">
      <c r="A1083" s="18" t="s">
        <v>44</v>
      </c>
      <c r="B1083" s="19" t="s">
        <v>1165</v>
      </c>
      <c r="C1083" s="19" t="s">
        <v>1236</v>
      </c>
      <c r="D1083" s="18" t="s">
        <v>1214</v>
      </c>
      <c r="E1083" s="116"/>
      <c r="F1083" s="18">
        <v>90086</v>
      </c>
      <c r="G1083" s="19" t="s">
        <v>1259</v>
      </c>
      <c r="H1083" s="18">
        <v>1</v>
      </c>
      <c r="I1083" s="18" t="s">
        <v>146</v>
      </c>
    </row>
    <row r="1084" spans="1:9" ht="15.75" customHeight="1" x14ac:dyDescent="0.2">
      <c r="A1084" s="18" t="s">
        <v>44</v>
      </c>
      <c r="B1084" s="19" t="s">
        <v>1165</v>
      </c>
      <c r="C1084" s="19" t="s">
        <v>1236</v>
      </c>
      <c r="D1084" s="18" t="s">
        <v>1173</v>
      </c>
      <c r="E1084" s="116"/>
      <c r="F1084" s="18">
        <v>90087</v>
      </c>
      <c r="G1084" s="19" t="s">
        <v>1260</v>
      </c>
      <c r="H1084" s="18">
        <v>1</v>
      </c>
      <c r="I1084" s="18" t="s">
        <v>146</v>
      </c>
    </row>
    <row r="1085" spans="1:9" ht="15.75" customHeight="1" x14ac:dyDescent="0.2">
      <c r="A1085" s="18" t="s">
        <v>44</v>
      </c>
      <c r="B1085" s="19" t="s">
        <v>1165</v>
      </c>
      <c r="C1085" s="19" t="s">
        <v>1236</v>
      </c>
      <c r="D1085" s="18" t="s">
        <v>1173</v>
      </c>
      <c r="E1085" s="116"/>
      <c r="F1085" s="18">
        <v>90088</v>
      </c>
      <c r="G1085" s="19" t="s">
        <v>1261</v>
      </c>
      <c r="H1085" s="18">
        <v>1</v>
      </c>
      <c r="I1085" s="18" t="s">
        <v>146</v>
      </c>
    </row>
    <row r="1086" spans="1:9" ht="15.75" customHeight="1" x14ac:dyDescent="0.2">
      <c r="A1086" s="18" t="s">
        <v>44</v>
      </c>
      <c r="B1086" s="19" t="s">
        <v>1165</v>
      </c>
      <c r="C1086" s="19" t="s">
        <v>1236</v>
      </c>
      <c r="D1086" s="18" t="s">
        <v>1173</v>
      </c>
      <c r="E1086" s="117"/>
      <c r="F1086" s="18">
        <v>90089</v>
      </c>
      <c r="G1086" s="19" t="s">
        <v>1262</v>
      </c>
      <c r="H1086" s="18">
        <v>1</v>
      </c>
      <c r="I1086" s="18" t="s">
        <v>146</v>
      </c>
    </row>
    <row r="1087" spans="1:9" ht="15.75" customHeight="1" x14ac:dyDescent="0.2">
      <c r="A1087" s="18" t="s">
        <v>44</v>
      </c>
      <c r="B1087" s="19" t="s">
        <v>1165</v>
      </c>
      <c r="C1087" s="19" t="s">
        <v>1236</v>
      </c>
      <c r="D1087" s="18" t="s">
        <v>1214</v>
      </c>
      <c r="E1087" s="115" t="e" vm="227">
        <v>#VALUE!</v>
      </c>
      <c r="F1087" s="18">
        <v>90090</v>
      </c>
      <c r="G1087" s="19" t="s">
        <v>1263</v>
      </c>
      <c r="H1087" s="18">
        <v>1</v>
      </c>
      <c r="I1087" s="18" t="s">
        <v>146</v>
      </c>
    </row>
    <row r="1088" spans="1:9" ht="15.75" customHeight="1" x14ac:dyDescent="0.2">
      <c r="A1088" s="18" t="s">
        <v>44</v>
      </c>
      <c r="B1088" s="19" t="s">
        <v>1165</v>
      </c>
      <c r="C1088" s="19" t="s">
        <v>1236</v>
      </c>
      <c r="D1088" s="18" t="s">
        <v>1214</v>
      </c>
      <c r="E1088" s="116"/>
      <c r="F1088" s="18">
        <v>90091</v>
      </c>
      <c r="G1088" s="19" t="s">
        <v>1264</v>
      </c>
      <c r="H1088" s="18">
        <v>1</v>
      </c>
      <c r="I1088" s="18" t="s">
        <v>146</v>
      </c>
    </row>
    <row r="1089" spans="1:9" ht="15.75" customHeight="1" x14ac:dyDescent="0.2">
      <c r="A1089" s="18" t="s">
        <v>44</v>
      </c>
      <c r="B1089" s="19" t="s">
        <v>1165</v>
      </c>
      <c r="C1089" s="19" t="s">
        <v>1236</v>
      </c>
      <c r="D1089" s="18" t="s">
        <v>1173</v>
      </c>
      <c r="E1089" s="116"/>
      <c r="F1089" s="18">
        <v>90092</v>
      </c>
      <c r="G1089" s="19" t="s">
        <v>1265</v>
      </c>
      <c r="H1089" s="18">
        <v>1</v>
      </c>
      <c r="I1089" s="18" t="s">
        <v>146</v>
      </c>
    </row>
    <row r="1090" spans="1:9" ht="15.75" customHeight="1" x14ac:dyDescent="0.2">
      <c r="A1090" s="18" t="s">
        <v>44</v>
      </c>
      <c r="B1090" s="19" t="s">
        <v>1165</v>
      </c>
      <c r="C1090" s="19" t="s">
        <v>1236</v>
      </c>
      <c r="D1090" s="18" t="s">
        <v>1173</v>
      </c>
      <c r="E1090" s="116"/>
      <c r="F1090" s="18">
        <v>90093</v>
      </c>
      <c r="G1090" s="19" t="s">
        <v>1266</v>
      </c>
      <c r="H1090" s="18">
        <v>1</v>
      </c>
      <c r="I1090" s="18" t="s">
        <v>146</v>
      </c>
    </row>
    <row r="1091" spans="1:9" ht="15.75" customHeight="1" x14ac:dyDescent="0.2">
      <c r="A1091" s="18" t="s">
        <v>44</v>
      </c>
      <c r="B1091" s="19" t="s">
        <v>1165</v>
      </c>
      <c r="C1091" s="19" t="s">
        <v>1236</v>
      </c>
      <c r="D1091" s="18" t="s">
        <v>1173</v>
      </c>
      <c r="E1091" s="116"/>
      <c r="F1091" s="18">
        <v>90094</v>
      </c>
      <c r="G1091" s="19" t="s">
        <v>1267</v>
      </c>
      <c r="H1091" s="18">
        <v>1</v>
      </c>
      <c r="I1091" s="18" t="s">
        <v>146</v>
      </c>
    </row>
    <row r="1092" spans="1:9" ht="15.75" customHeight="1" x14ac:dyDescent="0.2">
      <c r="A1092" s="18" t="s">
        <v>44</v>
      </c>
      <c r="B1092" s="19" t="s">
        <v>1165</v>
      </c>
      <c r="C1092" s="19" t="s">
        <v>1236</v>
      </c>
      <c r="D1092" s="18" t="s">
        <v>1173</v>
      </c>
      <c r="E1092" s="117"/>
      <c r="F1092" s="18">
        <v>90095</v>
      </c>
      <c r="G1092" s="19" t="s">
        <v>1268</v>
      </c>
      <c r="H1092" s="18">
        <v>1</v>
      </c>
      <c r="I1092" s="18" t="s">
        <v>146</v>
      </c>
    </row>
    <row r="1093" spans="1:9" ht="15.75" customHeight="1" x14ac:dyDescent="0.2">
      <c r="A1093" s="18" t="s">
        <v>44</v>
      </c>
      <c r="B1093" s="19" t="s">
        <v>1165</v>
      </c>
      <c r="C1093" s="19" t="s">
        <v>1236</v>
      </c>
      <c r="D1093" s="18" t="s">
        <v>1214</v>
      </c>
      <c r="E1093" s="106" t="e" vm="228">
        <v>#VALUE!</v>
      </c>
      <c r="F1093" s="18">
        <v>90096</v>
      </c>
      <c r="G1093" s="19" t="s">
        <v>1269</v>
      </c>
      <c r="H1093" s="18">
        <v>1</v>
      </c>
      <c r="I1093" s="18" t="s">
        <v>146</v>
      </c>
    </row>
    <row r="1094" spans="1:9" ht="15.75" customHeight="1" x14ac:dyDescent="0.2">
      <c r="A1094" s="18" t="s">
        <v>44</v>
      </c>
      <c r="B1094" s="19" t="s">
        <v>1165</v>
      </c>
      <c r="C1094" s="19" t="s">
        <v>1236</v>
      </c>
      <c r="D1094" s="18" t="s">
        <v>1214</v>
      </c>
      <c r="E1094" s="104"/>
      <c r="F1094" s="18">
        <v>90097</v>
      </c>
      <c r="G1094" s="19" t="s">
        <v>1270</v>
      </c>
      <c r="H1094" s="18">
        <v>1</v>
      </c>
      <c r="I1094" s="18" t="s">
        <v>146</v>
      </c>
    </row>
    <row r="1095" spans="1:9" ht="15.75" customHeight="1" x14ac:dyDescent="0.2">
      <c r="A1095" s="18" t="s">
        <v>44</v>
      </c>
      <c r="B1095" s="19" t="s">
        <v>1165</v>
      </c>
      <c r="C1095" s="19" t="s">
        <v>1236</v>
      </c>
      <c r="D1095" s="18" t="s">
        <v>1173</v>
      </c>
      <c r="E1095" s="105"/>
      <c r="F1095" s="18">
        <v>90098</v>
      </c>
      <c r="G1095" s="19" t="s">
        <v>1271</v>
      </c>
      <c r="H1095" s="18">
        <v>1</v>
      </c>
      <c r="I1095" s="18" t="s">
        <v>146</v>
      </c>
    </row>
    <row r="1096" spans="1:9" ht="15.75" customHeight="1" x14ac:dyDescent="0.2">
      <c r="A1096" s="18" t="s">
        <v>44</v>
      </c>
      <c r="B1096" s="19" t="s">
        <v>1165</v>
      </c>
      <c r="C1096" s="19" t="s">
        <v>1236</v>
      </c>
      <c r="D1096" s="18" t="s">
        <v>1214</v>
      </c>
      <c r="E1096" s="106" t="e" vm="229">
        <v>#VALUE!</v>
      </c>
      <c r="F1096" s="18">
        <v>90099</v>
      </c>
      <c r="G1096" s="19" t="s">
        <v>1272</v>
      </c>
      <c r="H1096" s="18">
        <v>1</v>
      </c>
      <c r="I1096" s="18" t="s">
        <v>146</v>
      </c>
    </row>
    <row r="1097" spans="1:9" ht="15.75" customHeight="1" x14ac:dyDescent="0.2">
      <c r="A1097" s="18" t="s">
        <v>44</v>
      </c>
      <c r="B1097" s="19" t="s">
        <v>1165</v>
      </c>
      <c r="C1097" s="19" t="s">
        <v>1236</v>
      </c>
      <c r="D1097" s="18" t="s">
        <v>1214</v>
      </c>
      <c r="E1097" s="104"/>
      <c r="F1097" s="18">
        <v>90100</v>
      </c>
      <c r="G1097" s="19" t="s">
        <v>1273</v>
      </c>
      <c r="H1097" s="18">
        <v>1</v>
      </c>
      <c r="I1097" s="18" t="s">
        <v>146</v>
      </c>
    </row>
    <row r="1098" spans="1:9" ht="15.75" customHeight="1" x14ac:dyDescent="0.2">
      <c r="A1098" s="18" t="s">
        <v>44</v>
      </c>
      <c r="B1098" s="19" t="s">
        <v>1165</v>
      </c>
      <c r="C1098" s="19" t="s">
        <v>1236</v>
      </c>
      <c r="D1098" s="18" t="s">
        <v>1173</v>
      </c>
      <c r="E1098" s="104"/>
      <c r="F1098" s="18">
        <v>90101</v>
      </c>
      <c r="G1098" s="19" t="s">
        <v>1255</v>
      </c>
      <c r="H1098" s="18">
        <v>1</v>
      </c>
      <c r="I1098" s="18" t="s">
        <v>146</v>
      </c>
    </row>
    <row r="1099" spans="1:9" ht="15.75" customHeight="1" x14ac:dyDescent="0.2">
      <c r="A1099" s="18" t="s">
        <v>44</v>
      </c>
      <c r="B1099" s="19" t="s">
        <v>1165</v>
      </c>
      <c r="C1099" s="19" t="s">
        <v>1236</v>
      </c>
      <c r="D1099" s="18" t="s">
        <v>1173</v>
      </c>
      <c r="E1099" s="105"/>
      <c r="F1099" s="18">
        <v>90102</v>
      </c>
      <c r="G1099" s="19" t="s">
        <v>1256</v>
      </c>
      <c r="H1099" s="18">
        <v>1</v>
      </c>
      <c r="I1099" s="18" t="s">
        <v>146</v>
      </c>
    </row>
    <row r="1100" spans="1:9" ht="15.75" customHeight="1" x14ac:dyDescent="0.2">
      <c r="A1100" s="18" t="s">
        <v>44</v>
      </c>
      <c r="B1100" s="19" t="s">
        <v>1165</v>
      </c>
      <c r="C1100" s="19" t="s">
        <v>1236</v>
      </c>
      <c r="D1100" s="18" t="s">
        <v>1173</v>
      </c>
      <c r="E1100" s="112" t="e" vm="230">
        <v>#VALUE!</v>
      </c>
      <c r="F1100" s="18">
        <v>90103</v>
      </c>
      <c r="G1100" s="19" t="s">
        <v>1274</v>
      </c>
      <c r="H1100" s="18">
        <v>1</v>
      </c>
      <c r="I1100" s="18" t="s">
        <v>146</v>
      </c>
    </row>
    <row r="1101" spans="1:9" ht="15.75" customHeight="1" x14ac:dyDescent="0.2">
      <c r="A1101" s="18" t="s">
        <v>44</v>
      </c>
      <c r="B1101" s="19" t="s">
        <v>1165</v>
      </c>
      <c r="C1101" s="19" t="s">
        <v>1236</v>
      </c>
      <c r="D1101" s="18" t="s">
        <v>1214</v>
      </c>
      <c r="E1101" s="109"/>
      <c r="F1101" s="18">
        <v>90104</v>
      </c>
      <c r="G1101" s="19" t="s">
        <v>1275</v>
      </c>
      <c r="H1101" s="18">
        <v>1</v>
      </c>
      <c r="I1101" s="18" t="s">
        <v>146</v>
      </c>
    </row>
    <row r="1102" spans="1:9" ht="15.75" customHeight="1" x14ac:dyDescent="0.2">
      <c r="A1102" s="18" t="s">
        <v>44</v>
      </c>
      <c r="B1102" s="19" t="s">
        <v>1165</v>
      </c>
      <c r="C1102" s="19" t="s">
        <v>1236</v>
      </c>
      <c r="D1102" s="18" t="s">
        <v>1214</v>
      </c>
      <c r="E1102" s="109"/>
      <c r="F1102" s="18">
        <v>90105</v>
      </c>
      <c r="G1102" s="19" t="s">
        <v>1276</v>
      </c>
      <c r="H1102" s="18">
        <v>1</v>
      </c>
      <c r="I1102" s="18" t="s">
        <v>146</v>
      </c>
    </row>
    <row r="1103" spans="1:9" ht="15.75" customHeight="1" x14ac:dyDescent="0.2">
      <c r="A1103" s="18" t="s">
        <v>44</v>
      </c>
      <c r="B1103" s="19" t="s">
        <v>1165</v>
      </c>
      <c r="C1103" s="19" t="s">
        <v>1236</v>
      </c>
      <c r="D1103" s="18" t="s">
        <v>1214</v>
      </c>
      <c r="E1103" s="109"/>
      <c r="F1103" s="18">
        <v>90106</v>
      </c>
      <c r="G1103" s="19" t="s">
        <v>1277</v>
      </c>
      <c r="H1103" s="18">
        <v>1</v>
      </c>
      <c r="I1103" s="18" t="s">
        <v>146</v>
      </c>
    </row>
    <row r="1104" spans="1:9" ht="15.75" customHeight="1" x14ac:dyDescent="0.2">
      <c r="A1104" s="18" t="s">
        <v>44</v>
      </c>
      <c r="B1104" s="19" t="s">
        <v>1165</v>
      </c>
      <c r="C1104" s="19" t="s">
        <v>1236</v>
      </c>
      <c r="D1104" s="18" t="s">
        <v>1214</v>
      </c>
      <c r="E1104" s="109"/>
      <c r="F1104" s="18">
        <v>90107</v>
      </c>
      <c r="G1104" s="19" t="s">
        <v>1278</v>
      </c>
      <c r="H1104" s="18">
        <v>1</v>
      </c>
      <c r="I1104" s="18" t="s">
        <v>146</v>
      </c>
    </row>
    <row r="1105" spans="1:9" ht="15.75" customHeight="1" x14ac:dyDescent="0.2">
      <c r="A1105" s="18" t="s">
        <v>44</v>
      </c>
      <c r="B1105" s="19" t="s">
        <v>1165</v>
      </c>
      <c r="C1105" s="19" t="s">
        <v>1236</v>
      </c>
      <c r="D1105" s="18" t="s">
        <v>1173</v>
      </c>
      <c r="E1105" s="109"/>
      <c r="F1105" s="18">
        <v>90108</v>
      </c>
      <c r="G1105" s="19" t="s">
        <v>1279</v>
      </c>
      <c r="H1105" s="18">
        <v>1</v>
      </c>
      <c r="I1105" s="18" t="s">
        <v>146</v>
      </c>
    </row>
    <row r="1106" spans="1:9" ht="15.75" customHeight="1" x14ac:dyDescent="0.2">
      <c r="A1106" s="18" t="s">
        <v>44</v>
      </c>
      <c r="B1106" s="19" t="s">
        <v>1165</v>
      </c>
      <c r="C1106" s="19" t="s">
        <v>1236</v>
      </c>
      <c r="D1106" s="18" t="s">
        <v>1173</v>
      </c>
      <c r="E1106" s="109"/>
      <c r="F1106" s="18">
        <v>90109</v>
      </c>
      <c r="G1106" s="19" t="s">
        <v>1280</v>
      </c>
      <c r="H1106" s="18">
        <v>1</v>
      </c>
      <c r="I1106" s="18" t="s">
        <v>146</v>
      </c>
    </row>
    <row r="1107" spans="1:9" ht="15.75" customHeight="1" x14ac:dyDescent="0.2">
      <c r="A1107" s="18" t="s">
        <v>44</v>
      </c>
      <c r="B1107" s="19" t="s">
        <v>1165</v>
      </c>
      <c r="C1107" s="19" t="s">
        <v>1236</v>
      </c>
      <c r="D1107" s="18" t="s">
        <v>1173</v>
      </c>
      <c r="E1107" s="109"/>
      <c r="F1107" s="18">
        <v>90110</v>
      </c>
      <c r="G1107" s="19" t="s">
        <v>1281</v>
      </c>
      <c r="H1107" s="18">
        <v>1</v>
      </c>
      <c r="I1107" s="18" t="s">
        <v>146</v>
      </c>
    </row>
    <row r="1108" spans="1:9" ht="15.75" customHeight="1" x14ac:dyDescent="0.2">
      <c r="A1108" s="18" t="s">
        <v>44</v>
      </c>
      <c r="B1108" s="19" t="s">
        <v>1165</v>
      </c>
      <c r="C1108" s="19" t="s">
        <v>1236</v>
      </c>
      <c r="D1108" s="18" t="s">
        <v>1173</v>
      </c>
      <c r="E1108" s="109"/>
      <c r="F1108" s="18">
        <v>90111</v>
      </c>
      <c r="G1108" s="19" t="s">
        <v>1282</v>
      </c>
      <c r="H1108" s="18">
        <v>1</v>
      </c>
      <c r="I1108" s="18" t="s">
        <v>146</v>
      </c>
    </row>
    <row r="1109" spans="1:9" ht="15.75" customHeight="1" x14ac:dyDescent="0.2">
      <c r="A1109" s="18" t="s">
        <v>44</v>
      </c>
      <c r="B1109" s="19" t="s">
        <v>1165</v>
      </c>
      <c r="C1109" s="19" t="s">
        <v>1236</v>
      </c>
      <c r="D1109" s="18" t="s">
        <v>1173</v>
      </c>
      <c r="E1109" s="109"/>
      <c r="F1109" s="18">
        <v>90112</v>
      </c>
      <c r="G1109" s="19" t="s">
        <v>1283</v>
      </c>
      <c r="H1109" s="18">
        <v>1</v>
      </c>
      <c r="I1109" s="18" t="s">
        <v>146</v>
      </c>
    </row>
    <row r="1110" spans="1:9" ht="15.75" customHeight="1" x14ac:dyDescent="0.2">
      <c r="A1110" s="18" t="s">
        <v>44</v>
      </c>
      <c r="B1110" s="19" t="s">
        <v>1165</v>
      </c>
      <c r="C1110" s="19" t="s">
        <v>1236</v>
      </c>
      <c r="D1110" s="18" t="s">
        <v>1167</v>
      </c>
      <c r="E1110" s="109"/>
      <c r="F1110" s="18">
        <v>90113</v>
      </c>
      <c r="G1110" s="19" t="s">
        <v>1284</v>
      </c>
      <c r="H1110" s="18">
        <v>1</v>
      </c>
      <c r="I1110" s="18" t="s">
        <v>146</v>
      </c>
    </row>
    <row r="1111" spans="1:9" ht="15.75" customHeight="1" x14ac:dyDescent="0.2">
      <c r="A1111" s="18" t="s">
        <v>44</v>
      </c>
      <c r="B1111" s="19" t="s">
        <v>1165</v>
      </c>
      <c r="C1111" s="19" t="s">
        <v>1236</v>
      </c>
      <c r="D1111" s="18" t="s">
        <v>1214</v>
      </c>
      <c r="E1111" s="115" t="e" vm="231">
        <v>#VALUE!</v>
      </c>
      <c r="F1111" s="18">
        <v>90114</v>
      </c>
      <c r="G1111" s="19" t="s">
        <v>1285</v>
      </c>
      <c r="H1111" s="18">
        <v>1</v>
      </c>
      <c r="I1111" s="18" t="s">
        <v>146</v>
      </c>
    </row>
    <row r="1112" spans="1:9" ht="15.75" customHeight="1" x14ac:dyDescent="0.2">
      <c r="A1112" s="18" t="s">
        <v>44</v>
      </c>
      <c r="B1112" s="19" t="s">
        <v>1165</v>
      </c>
      <c r="C1112" s="19" t="s">
        <v>1236</v>
      </c>
      <c r="D1112" s="18" t="s">
        <v>1173</v>
      </c>
      <c r="E1112" s="116"/>
      <c r="F1112" s="18">
        <v>90115</v>
      </c>
      <c r="G1112" s="19" t="s">
        <v>1286</v>
      </c>
      <c r="H1112" s="18">
        <v>1</v>
      </c>
      <c r="I1112" s="18" t="s">
        <v>146</v>
      </c>
    </row>
    <row r="1113" spans="1:9" ht="15.75" customHeight="1" x14ac:dyDescent="0.2">
      <c r="A1113" s="18" t="s">
        <v>44</v>
      </c>
      <c r="B1113" s="19" t="s">
        <v>1165</v>
      </c>
      <c r="C1113" s="19" t="s">
        <v>1236</v>
      </c>
      <c r="D1113" s="18" t="s">
        <v>1173</v>
      </c>
      <c r="E1113" s="116"/>
      <c r="F1113" s="18">
        <v>90116</v>
      </c>
      <c r="G1113" s="19" t="s">
        <v>1287</v>
      </c>
      <c r="H1113" s="18">
        <v>1</v>
      </c>
      <c r="I1113" s="18" t="s">
        <v>146</v>
      </c>
    </row>
    <row r="1114" spans="1:9" ht="15.75" customHeight="1" x14ac:dyDescent="0.2">
      <c r="A1114" s="18" t="s">
        <v>44</v>
      </c>
      <c r="B1114" s="19" t="s">
        <v>1165</v>
      </c>
      <c r="C1114" s="19" t="s">
        <v>1236</v>
      </c>
      <c r="D1114" s="18" t="s">
        <v>1173</v>
      </c>
      <c r="E1114" s="116"/>
      <c r="F1114" s="18">
        <v>90117</v>
      </c>
      <c r="G1114" s="19" t="s">
        <v>1288</v>
      </c>
      <c r="H1114" s="18">
        <v>1</v>
      </c>
      <c r="I1114" s="18" t="s">
        <v>146</v>
      </c>
    </row>
    <row r="1115" spans="1:9" ht="15.75" customHeight="1" x14ac:dyDescent="0.2">
      <c r="A1115" s="18" t="s">
        <v>44</v>
      </c>
      <c r="B1115" s="19" t="s">
        <v>1165</v>
      </c>
      <c r="C1115" s="19" t="s">
        <v>1236</v>
      </c>
      <c r="D1115" s="18" t="s">
        <v>1173</v>
      </c>
      <c r="E1115" s="116"/>
      <c r="F1115" s="18">
        <v>90118</v>
      </c>
      <c r="G1115" s="19" t="s">
        <v>1289</v>
      </c>
      <c r="H1115" s="18">
        <v>1</v>
      </c>
      <c r="I1115" s="18" t="s">
        <v>146</v>
      </c>
    </row>
    <row r="1116" spans="1:9" ht="15.75" customHeight="1" x14ac:dyDescent="0.2">
      <c r="A1116" s="18" t="s">
        <v>44</v>
      </c>
      <c r="B1116" s="19" t="s">
        <v>1165</v>
      </c>
      <c r="C1116" s="19" t="s">
        <v>1236</v>
      </c>
      <c r="D1116" s="18" t="s">
        <v>1173</v>
      </c>
      <c r="E1116" s="116"/>
      <c r="F1116" s="18">
        <v>90119</v>
      </c>
      <c r="G1116" s="19" t="s">
        <v>1290</v>
      </c>
      <c r="H1116" s="18">
        <v>1</v>
      </c>
      <c r="I1116" s="18" t="s">
        <v>146</v>
      </c>
    </row>
    <row r="1117" spans="1:9" ht="15.75" customHeight="1" x14ac:dyDescent="0.2">
      <c r="A1117" s="18" t="s">
        <v>44</v>
      </c>
      <c r="B1117" s="19" t="s">
        <v>1165</v>
      </c>
      <c r="C1117" s="19" t="s">
        <v>1236</v>
      </c>
      <c r="D1117" s="18" t="s">
        <v>1167</v>
      </c>
      <c r="E1117" s="117"/>
      <c r="F1117" s="18">
        <v>90120</v>
      </c>
      <c r="G1117" s="19" t="s">
        <v>1291</v>
      </c>
      <c r="H1117" s="18">
        <v>1</v>
      </c>
      <c r="I1117" s="18" t="s">
        <v>146</v>
      </c>
    </row>
    <row r="1118" spans="1:9" ht="15.75" customHeight="1" x14ac:dyDescent="0.2">
      <c r="A1118" s="18" t="s">
        <v>44</v>
      </c>
      <c r="B1118" s="19" t="s">
        <v>1165</v>
      </c>
      <c r="C1118" s="19" t="s">
        <v>1236</v>
      </c>
      <c r="D1118" s="18" t="s">
        <v>1178</v>
      </c>
      <c r="E1118" s="115" t="e" vm="232">
        <v>#VALUE!</v>
      </c>
      <c r="F1118" s="18">
        <v>90126</v>
      </c>
      <c r="G1118" s="19" t="s">
        <v>1292</v>
      </c>
      <c r="H1118" s="18">
        <v>1</v>
      </c>
      <c r="I1118" s="18" t="s">
        <v>146</v>
      </c>
    </row>
    <row r="1119" spans="1:9" ht="15.75" customHeight="1" x14ac:dyDescent="0.2">
      <c r="A1119" s="18" t="s">
        <v>44</v>
      </c>
      <c r="B1119" s="19" t="s">
        <v>1165</v>
      </c>
      <c r="C1119" s="19" t="s">
        <v>1236</v>
      </c>
      <c r="D1119" s="18" t="s">
        <v>1178</v>
      </c>
      <c r="E1119" s="116"/>
      <c r="F1119" s="18">
        <v>90127</v>
      </c>
      <c r="G1119" s="19" t="s">
        <v>1293</v>
      </c>
      <c r="H1119" s="18">
        <v>1</v>
      </c>
      <c r="I1119" s="18" t="s">
        <v>146</v>
      </c>
    </row>
    <row r="1120" spans="1:9" ht="15.75" customHeight="1" x14ac:dyDescent="0.2">
      <c r="A1120" s="18" t="s">
        <v>44</v>
      </c>
      <c r="B1120" s="19" t="s">
        <v>1165</v>
      </c>
      <c r="C1120" s="19" t="s">
        <v>1236</v>
      </c>
      <c r="D1120" s="18" t="s">
        <v>1178</v>
      </c>
      <c r="E1120" s="116"/>
      <c r="F1120" s="18">
        <v>90128</v>
      </c>
      <c r="G1120" s="19" t="s">
        <v>1294</v>
      </c>
      <c r="H1120" s="18">
        <v>1</v>
      </c>
      <c r="I1120" s="18" t="s">
        <v>146</v>
      </c>
    </row>
    <row r="1121" spans="1:9" ht="15.75" customHeight="1" x14ac:dyDescent="0.2">
      <c r="A1121" s="18" t="s">
        <v>44</v>
      </c>
      <c r="B1121" s="19" t="s">
        <v>1165</v>
      </c>
      <c r="C1121" s="19" t="s">
        <v>1236</v>
      </c>
      <c r="D1121" s="18" t="s">
        <v>1178</v>
      </c>
      <c r="E1121" s="116"/>
      <c r="F1121" s="18">
        <v>90129</v>
      </c>
      <c r="G1121" s="19" t="s">
        <v>1295</v>
      </c>
      <c r="H1121" s="18">
        <v>1</v>
      </c>
      <c r="I1121" s="18" t="s">
        <v>146</v>
      </c>
    </row>
    <row r="1122" spans="1:9" ht="15.75" customHeight="1" x14ac:dyDescent="0.2">
      <c r="A1122" s="18" t="s">
        <v>44</v>
      </c>
      <c r="B1122" s="19" t="s">
        <v>1165</v>
      </c>
      <c r="C1122" s="19" t="s">
        <v>1236</v>
      </c>
      <c r="D1122" s="18" t="s">
        <v>1178</v>
      </c>
      <c r="E1122" s="116"/>
      <c r="F1122" s="18">
        <v>90130</v>
      </c>
      <c r="G1122" s="19" t="s">
        <v>1296</v>
      </c>
      <c r="H1122" s="18">
        <v>1</v>
      </c>
      <c r="I1122" s="18" t="s">
        <v>146</v>
      </c>
    </row>
    <row r="1123" spans="1:9" ht="15.75" customHeight="1" x14ac:dyDescent="0.2">
      <c r="A1123" s="18" t="s">
        <v>44</v>
      </c>
      <c r="B1123" s="19" t="s">
        <v>1165</v>
      </c>
      <c r="C1123" s="19" t="s">
        <v>1236</v>
      </c>
      <c r="D1123" s="18" t="s">
        <v>1178</v>
      </c>
      <c r="E1123" s="116"/>
      <c r="F1123" s="18">
        <v>90131</v>
      </c>
      <c r="G1123" s="19" t="s">
        <v>1297</v>
      </c>
      <c r="H1123" s="18">
        <v>1</v>
      </c>
      <c r="I1123" s="18" t="s">
        <v>146</v>
      </c>
    </row>
    <row r="1124" spans="1:9" ht="15.75" customHeight="1" x14ac:dyDescent="0.2">
      <c r="A1124" s="18" t="s">
        <v>44</v>
      </c>
      <c r="B1124" s="19" t="s">
        <v>1165</v>
      </c>
      <c r="C1124" s="19" t="s">
        <v>1236</v>
      </c>
      <c r="D1124" s="18" t="s">
        <v>1214</v>
      </c>
      <c r="E1124" s="116"/>
      <c r="F1124" s="18">
        <v>90132</v>
      </c>
      <c r="G1124" s="19" t="s">
        <v>1298</v>
      </c>
      <c r="H1124" s="18">
        <v>1</v>
      </c>
      <c r="I1124" s="18" t="s">
        <v>146</v>
      </c>
    </row>
    <row r="1125" spans="1:9" ht="15.75" customHeight="1" x14ac:dyDescent="0.2">
      <c r="A1125" s="18" t="s">
        <v>44</v>
      </c>
      <c r="B1125" s="19" t="s">
        <v>1165</v>
      </c>
      <c r="C1125" s="19" t="s">
        <v>1236</v>
      </c>
      <c r="D1125" s="18" t="s">
        <v>1214</v>
      </c>
      <c r="E1125" s="116"/>
      <c r="F1125" s="18">
        <v>90133</v>
      </c>
      <c r="G1125" s="19" t="s">
        <v>1299</v>
      </c>
      <c r="H1125" s="18">
        <v>1</v>
      </c>
      <c r="I1125" s="18" t="s">
        <v>146</v>
      </c>
    </row>
    <row r="1126" spans="1:9" ht="15.75" customHeight="1" x14ac:dyDescent="0.2">
      <c r="A1126" s="18" t="s">
        <v>44</v>
      </c>
      <c r="B1126" s="19" t="s">
        <v>1165</v>
      </c>
      <c r="C1126" s="19" t="s">
        <v>1236</v>
      </c>
      <c r="D1126" s="18" t="s">
        <v>1214</v>
      </c>
      <c r="E1126" s="116"/>
      <c r="F1126" s="18">
        <v>90134</v>
      </c>
      <c r="G1126" s="19" t="s">
        <v>1300</v>
      </c>
      <c r="H1126" s="18">
        <v>1</v>
      </c>
      <c r="I1126" s="18" t="s">
        <v>146</v>
      </c>
    </row>
    <row r="1127" spans="1:9" ht="15.75" customHeight="1" x14ac:dyDescent="0.2">
      <c r="A1127" s="18" t="s">
        <v>44</v>
      </c>
      <c r="B1127" s="19" t="s">
        <v>1165</v>
      </c>
      <c r="C1127" s="19" t="s">
        <v>1236</v>
      </c>
      <c r="D1127" s="18" t="s">
        <v>1173</v>
      </c>
      <c r="E1127" s="117"/>
      <c r="F1127" s="18">
        <v>90135</v>
      </c>
      <c r="G1127" s="19" t="s">
        <v>1301</v>
      </c>
      <c r="H1127" s="18">
        <v>1</v>
      </c>
      <c r="I1127" s="18" t="s">
        <v>146</v>
      </c>
    </row>
    <row r="1128" spans="1:9" ht="15.75" customHeight="1" x14ac:dyDescent="0.2">
      <c r="A1128" s="18" t="s">
        <v>44</v>
      </c>
      <c r="B1128" s="19" t="s">
        <v>1165</v>
      </c>
      <c r="C1128" s="19" t="s">
        <v>1236</v>
      </c>
      <c r="D1128" s="18" t="s">
        <v>1178</v>
      </c>
      <c r="E1128" s="106" t="e" vm="233">
        <v>#VALUE!</v>
      </c>
      <c r="F1128" s="18">
        <v>90136</v>
      </c>
      <c r="G1128" s="19" t="s">
        <v>1302</v>
      </c>
      <c r="H1128" s="18">
        <v>1</v>
      </c>
      <c r="I1128" s="18" t="s">
        <v>146</v>
      </c>
    </row>
    <row r="1129" spans="1:9" ht="15.75" customHeight="1" x14ac:dyDescent="0.2">
      <c r="A1129" s="18" t="s">
        <v>44</v>
      </c>
      <c r="B1129" s="19" t="s">
        <v>1165</v>
      </c>
      <c r="C1129" s="19" t="s">
        <v>1236</v>
      </c>
      <c r="D1129" s="18" t="s">
        <v>1178</v>
      </c>
      <c r="E1129" s="104"/>
      <c r="F1129" s="18">
        <v>90137</v>
      </c>
      <c r="G1129" s="19" t="s">
        <v>1303</v>
      </c>
      <c r="H1129" s="18">
        <v>1</v>
      </c>
      <c r="I1129" s="18" t="s">
        <v>146</v>
      </c>
    </row>
    <row r="1130" spans="1:9" ht="15.75" customHeight="1" x14ac:dyDescent="0.2">
      <c r="A1130" s="18" t="s">
        <v>44</v>
      </c>
      <c r="B1130" s="19" t="s">
        <v>1165</v>
      </c>
      <c r="C1130" s="19" t="s">
        <v>1236</v>
      </c>
      <c r="D1130" s="18" t="s">
        <v>1178</v>
      </c>
      <c r="E1130" s="104"/>
      <c r="F1130" s="18">
        <v>90138</v>
      </c>
      <c r="G1130" s="19" t="s">
        <v>1304</v>
      </c>
      <c r="H1130" s="18">
        <v>1</v>
      </c>
      <c r="I1130" s="18" t="s">
        <v>146</v>
      </c>
    </row>
    <row r="1131" spans="1:9" ht="15.75" customHeight="1" x14ac:dyDescent="0.2">
      <c r="A1131" s="18" t="s">
        <v>44</v>
      </c>
      <c r="B1131" s="19" t="s">
        <v>1165</v>
      </c>
      <c r="C1131" s="19" t="s">
        <v>1236</v>
      </c>
      <c r="D1131" s="18" t="s">
        <v>1178</v>
      </c>
      <c r="E1131" s="104"/>
      <c r="F1131" s="18">
        <v>90139</v>
      </c>
      <c r="G1131" s="19" t="s">
        <v>1305</v>
      </c>
      <c r="H1131" s="18">
        <v>1</v>
      </c>
      <c r="I1131" s="18" t="s">
        <v>146</v>
      </c>
    </row>
    <row r="1132" spans="1:9" ht="15.75" customHeight="1" x14ac:dyDescent="0.2">
      <c r="A1132" s="18" t="s">
        <v>44</v>
      </c>
      <c r="B1132" s="19" t="s">
        <v>1165</v>
      </c>
      <c r="C1132" s="19" t="s">
        <v>1236</v>
      </c>
      <c r="D1132" s="18" t="s">
        <v>1178</v>
      </c>
      <c r="E1132" s="104"/>
      <c r="F1132" s="18">
        <v>90140</v>
      </c>
      <c r="G1132" s="19" t="s">
        <v>1306</v>
      </c>
      <c r="H1132" s="18">
        <v>1</v>
      </c>
      <c r="I1132" s="18" t="s">
        <v>146</v>
      </c>
    </row>
    <row r="1133" spans="1:9" ht="15.75" customHeight="1" x14ac:dyDescent="0.2">
      <c r="A1133" s="18" t="s">
        <v>44</v>
      </c>
      <c r="B1133" s="19" t="s">
        <v>1165</v>
      </c>
      <c r="C1133" s="19" t="s">
        <v>1236</v>
      </c>
      <c r="D1133" s="18" t="s">
        <v>1178</v>
      </c>
      <c r="E1133" s="104"/>
      <c r="F1133" s="18">
        <v>90141</v>
      </c>
      <c r="G1133" s="19" t="s">
        <v>1307</v>
      </c>
      <c r="H1133" s="18">
        <v>1</v>
      </c>
      <c r="I1133" s="18" t="s">
        <v>146</v>
      </c>
    </row>
    <row r="1134" spans="1:9" ht="15.75" customHeight="1" x14ac:dyDescent="0.2">
      <c r="A1134" s="18" t="s">
        <v>44</v>
      </c>
      <c r="B1134" s="19" t="s">
        <v>1165</v>
      </c>
      <c r="C1134" s="19" t="s">
        <v>1236</v>
      </c>
      <c r="D1134" s="18" t="s">
        <v>1214</v>
      </c>
      <c r="E1134" s="104"/>
      <c r="F1134" s="18">
        <v>90142</v>
      </c>
      <c r="G1134" s="19" t="s">
        <v>1308</v>
      </c>
      <c r="H1134" s="18">
        <v>1</v>
      </c>
      <c r="I1134" s="18" t="s">
        <v>146</v>
      </c>
    </row>
    <row r="1135" spans="1:9" ht="15.75" customHeight="1" x14ac:dyDescent="0.2">
      <c r="A1135" s="18" t="s">
        <v>44</v>
      </c>
      <c r="B1135" s="19" t="s">
        <v>1165</v>
      </c>
      <c r="C1135" s="19" t="s">
        <v>1236</v>
      </c>
      <c r="D1135" s="18" t="s">
        <v>1214</v>
      </c>
      <c r="E1135" s="104"/>
      <c r="F1135" s="18">
        <v>90143</v>
      </c>
      <c r="G1135" s="19" t="s">
        <v>1309</v>
      </c>
      <c r="H1135" s="18">
        <v>1</v>
      </c>
      <c r="I1135" s="18" t="s">
        <v>146</v>
      </c>
    </row>
    <row r="1136" spans="1:9" ht="15.75" customHeight="1" x14ac:dyDescent="0.2">
      <c r="A1136" s="18" t="s">
        <v>44</v>
      </c>
      <c r="B1136" s="19" t="s">
        <v>1165</v>
      </c>
      <c r="C1136" s="19" t="s">
        <v>1236</v>
      </c>
      <c r="D1136" s="18" t="s">
        <v>1214</v>
      </c>
      <c r="E1136" s="104"/>
      <c r="F1136" s="18">
        <v>90144</v>
      </c>
      <c r="G1136" s="19" t="s">
        <v>1310</v>
      </c>
      <c r="H1136" s="18">
        <v>1</v>
      </c>
      <c r="I1136" s="18" t="s">
        <v>146</v>
      </c>
    </row>
    <row r="1137" spans="1:9" ht="15.75" customHeight="1" x14ac:dyDescent="0.2">
      <c r="A1137" s="18" t="s">
        <v>44</v>
      </c>
      <c r="B1137" s="19" t="s">
        <v>1165</v>
      </c>
      <c r="C1137" s="19" t="s">
        <v>1236</v>
      </c>
      <c r="D1137" s="18" t="s">
        <v>1173</v>
      </c>
      <c r="E1137" s="105"/>
      <c r="F1137" s="18">
        <v>90145</v>
      </c>
      <c r="G1137" s="19" t="s">
        <v>1311</v>
      </c>
      <c r="H1137" s="18">
        <v>1</v>
      </c>
      <c r="I1137" s="18" t="s">
        <v>146</v>
      </c>
    </row>
    <row r="1138" spans="1:9" ht="15.75" customHeight="1" x14ac:dyDescent="0.2">
      <c r="A1138" s="18" t="s">
        <v>44</v>
      </c>
      <c r="B1138" s="19" t="s">
        <v>1165</v>
      </c>
      <c r="C1138" s="19" t="s">
        <v>1236</v>
      </c>
      <c r="D1138" s="18" t="s">
        <v>1178</v>
      </c>
      <c r="E1138" s="106" t="e" vm="234">
        <v>#VALUE!</v>
      </c>
      <c r="F1138" s="18">
        <v>90146</v>
      </c>
      <c r="G1138" s="19" t="s">
        <v>1312</v>
      </c>
      <c r="H1138" s="18">
        <v>1</v>
      </c>
      <c r="I1138" s="18" t="s">
        <v>146</v>
      </c>
    </row>
    <row r="1139" spans="1:9" ht="15.75" customHeight="1" x14ac:dyDescent="0.2">
      <c r="A1139" s="18" t="s">
        <v>44</v>
      </c>
      <c r="B1139" s="19" t="s">
        <v>1165</v>
      </c>
      <c r="C1139" s="19" t="s">
        <v>1236</v>
      </c>
      <c r="D1139" s="18" t="s">
        <v>1214</v>
      </c>
      <c r="E1139" s="105"/>
      <c r="F1139" s="18">
        <v>90147</v>
      </c>
      <c r="G1139" s="19" t="s">
        <v>1313</v>
      </c>
      <c r="H1139" s="18">
        <v>1</v>
      </c>
      <c r="I1139" s="18" t="s">
        <v>146</v>
      </c>
    </row>
    <row r="1140" spans="1:9" ht="15.75" customHeight="1" x14ac:dyDescent="0.2">
      <c r="A1140" s="18" t="s">
        <v>44</v>
      </c>
      <c r="B1140" s="19" t="s">
        <v>1165</v>
      </c>
      <c r="C1140" s="19" t="s">
        <v>1236</v>
      </c>
      <c r="D1140" s="18" t="s">
        <v>1178</v>
      </c>
      <c r="E1140" s="106" t="e" vm="235">
        <v>#VALUE!</v>
      </c>
      <c r="F1140" s="18">
        <v>90148</v>
      </c>
      <c r="G1140" s="19" t="s">
        <v>1314</v>
      </c>
      <c r="H1140" s="18">
        <v>1</v>
      </c>
      <c r="I1140" s="18" t="s">
        <v>146</v>
      </c>
    </row>
    <row r="1141" spans="1:9" ht="15.75" customHeight="1" x14ac:dyDescent="0.2">
      <c r="A1141" s="18" t="s">
        <v>44</v>
      </c>
      <c r="B1141" s="19" t="s">
        <v>1165</v>
      </c>
      <c r="C1141" s="19" t="s">
        <v>1236</v>
      </c>
      <c r="D1141" s="18" t="s">
        <v>1178</v>
      </c>
      <c r="E1141" s="105"/>
      <c r="F1141" s="18">
        <v>90149</v>
      </c>
      <c r="G1141" s="19" t="s">
        <v>1315</v>
      </c>
      <c r="H1141" s="18">
        <v>1</v>
      </c>
      <c r="I1141" s="18" t="s">
        <v>146</v>
      </c>
    </row>
    <row r="1142" spans="1:9" ht="15.75" customHeight="1" x14ac:dyDescent="0.2">
      <c r="A1142" s="18" t="s">
        <v>44</v>
      </c>
      <c r="B1142" s="19" t="s">
        <v>1165</v>
      </c>
      <c r="C1142" s="19" t="s">
        <v>1236</v>
      </c>
      <c r="D1142" s="18" t="s">
        <v>1167</v>
      </c>
      <c r="E1142" s="106" t="e" vm="236">
        <v>#VALUE!</v>
      </c>
      <c r="F1142" s="18">
        <v>90150</v>
      </c>
      <c r="G1142" s="19" t="s">
        <v>1316</v>
      </c>
      <c r="H1142" s="18">
        <v>1</v>
      </c>
      <c r="I1142" s="18" t="s">
        <v>146</v>
      </c>
    </row>
    <row r="1143" spans="1:9" ht="15.75" customHeight="1" x14ac:dyDescent="0.2">
      <c r="A1143" s="18" t="s">
        <v>44</v>
      </c>
      <c r="B1143" s="19" t="s">
        <v>1165</v>
      </c>
      <c r="C1143" s="19" t="s">
        <v>1236</v>
      </c>
      <c r="D1143" s="18" t="s">
        <v>1169</v>
      </c>
      <c r="E1143" s="104"/>
      <c r="F1143" s="18">
        <v>90151</v>
      </c>
      <c r="G1143" s="19" t="s">
        <v>1317</v>
      </c>
      <c r="H1143" s="18">
        <v>1</v>
      </c>
      <c r="I1143" s="18" t="s">
        <v>146</v>
      </c>
    </row>
    <row r="1144" spans="1:9" ht="15.75" customHeight="1" x14ac:dyDescent="0.2">
      <c r="A1144" s="18" t="s">
        <v>44</v>
      </c>
      <c r="B1144" s="19" t="s">
        <v>1165</v>
      </c>
      <c r="C1144" s="19" t="s">
        <v>1236</v>
      </c>
      <c r="D1144" s="18" t="s">
        <v>1171</v>
      </c>
      <c r="E1144" s="105"/>
      <c r="F1144" s="18">
        <v>90152</v>
      </c>
      <c r="G1144" s="19" t="s">
        <v>1318</v>
      </c>
      <c r="H1144" s="18">
        <v>1</v>
      </c>
      <c r="I1144" s="18" t="s">
        <v>146</v>
      </c>
    </row>
    <row r="1145" spans="1:9" ht="15.75" customHeight="1" x14ac:dyDescent="0.2">
      <c r="A1145" s="18" t="s">
        <v>44</v>
      </c>
      <c r="B1145" s="19" t="s">
        <v>1165</v>
      </c>
      <c r="C1145" s="19" t="s">
        <v>1236</v>
      </c>
      <c r="D1145" s="18" t="s">
        <v>1178</v>
      </c>
      <c r="E1145" s="115" t="e" vm="237">
        <v>#VALUE!</v>
      </c>
      <c r="F1145" s="18">
        <v>90154</v>
      </c>
      <c r="G1145" s="19" t="s">
        <v>1319</v>
      </c>
      <c r="H1145" s="18">
        <v>1</v>
      </c>
      <c r="I1145" s="18" t="s">
        <v>146</v>
      </c>
    </row>
    <row r="1146" spans="1:9" ht="15.75" customHeight="1" x14ac:dyDescent="0.2">
      <c r="A1146" s="18" t="s">
        <v>44</v>
      </c>
      <c r="B1146" s="19" t="s">
        <v>1165</v>
      </c>
      <c r="C1146" s="19" t="s">
        <v>1236</v>
      </c>
      <c r="D1146" s="18" t="s">
        <v>1178</v>
      </c>
      <c r="E1146" s="116"/>
      <c r="F1146" s="18">
        <v>90155</v>
      </c>
      <c r="G1146" s="19" t="s">
        <v>1320</v>
      </c>
      <c r="H1146" s="18">
        <v>1</v>
      </c>
      <c r="I1146" s="18" t="s">
        <v>146</v>
      </c>
    </row>
    <row r="1147" spans="1:9" ht="15.75" customHeight="1" x14ac:dyDescent="0.2">
      <c r="A1147" s="18" t="s">
        <v>44</v>
      </c>
      <c r="B1147" s="19" t="s">
        <v>1165</v>
      </c>
      <c r="C1147" s="19" t="s">
        <v>1236</v>
      </c>
      <c r="D1147" s="18" t="s">
        <v>1178</v>
      </c>
      <c r="E1147" s="116"/>
      <c r="F1147" s="18">
        <v>90156</v>
      </c>
      <c r="G1147" s="19" t="s">
        <v>1321</v>
      </c>
      <c r="H1147" s="18">
        <v>1</v>
      </c>
      <c r="I1147" s="18" t="s">
        <v>146</v>
      </c>
    </row>
    <row r="1148" spans="1:9" ht="15.75" customHeight="1" x14ac:dyDescent="0.2">
      <c r="A1148" s="18" t="s">
        <v>44</v>
      </c>
      <c r="B1148" s="19" t="s">
        <v>1165</v>
      </c>
      <c r="C1148" s="19" t="s">
        <v>1236</v>
      </c>
      <c r="D1148" s="18" t="s">
        <v>1178</v>
      </c>
      <c r="E1148" s="116"/>
      <c r="F1148" s="18">
        <v>90157</v>
      </c>
      <c r="G1148" s="19" t="s">
        <v>1322</v>
      </c>
      <c r="H1148" s="18">
        <v>1</v>
      </c>
      <c r="I1148" s="18" t="s">
        <v>146</v>
      </c>
    </row>
    <row r="1149" spans="1:9" ht="15.75" customHeight="1" x14ac:dyDescent="0.2">
      <c r="A1149" s="18" t="s">
        <v>44</v>
      </c>
      <c r="B1149" s="19" t="s">
        <v>1165</v>
      </c>
      <c r="C1149" s="19" t="s">
        <v>1236</v>
      </c>
      <c r="D1149" s="18" t="s">
        <v>1178</v>
      </c>
      <c r="E1149" s="116"/>
      <c r="F1149" s="18">
        <v>90158</v>
      </c>
      <c r="G1149" s="19" t="s">
        <v>1323</v>
      </c>
      <c r="H1149" s="18">
        <v>1</v>
      </c>
      <c r="I1149" s="18" t="s">
        <v>146</v>
      </c>
    </row>
    <row r="1150" spans="1:9" ht="15.75" customHeight="1" x14ac:dyDescent="0.2">
      <c r="A1150" s="18" t="s">
        <v>44</v>
      </c>
      <c r="B1150" s="19" t="s">
        <v>1165</v>
      </c>
      <c r="C1150" s="19" t="s">
        <v>1236</v>
      </c>
      <c r="D1150" s="18" t="s">
        <v>1178</v>
      </c>
      <c r="E1150" s="116"/>
      <c r="F1150" s="18">
        <v>90159</v>
      </c>
      <c r="G1150" s="19" t="s">
        <v>1324</v>
      </c>
      <c r="H1150" s="18">
        <v>1</v>
      </c>
      <c r="I1150" s="18" t="s">
        <v>146</v>
      </c>
    </row>
    <row r="1151" spans="1:9" ht="15.75" customHeight="1" x14ac:dyDescent="0.2">
      <c r="A1151" s="18" t="s">
        <v>44</v>
      </c>
      <c r="B1151" s="19" t="s">
        <v>1165</v>
      </c>
      <c r="C1151" s="19" t="s">
        <v>1236</v>
      </c>
      <c r="D1151" s="18" t="s">
        <v>1178</v>
      </c>
      <c r="E1151" s="117"/>
      <c r="F1151" s="18">
        <v>90160</v>
      </c>
      <c r="G1151" s="19" t="s">
        <v>1325</v>
      </c>
      <c r="H1151" s="18">
        <v>1</v>
      </c>
      <c r="I1151" s="18" t="s">
        <v>146</v>
      </c>
    </row>
    <row r="1152" spans="1:9" ht="15.75" customHeight="1" x14ac:dyDescent="0.2">
      <c r="A1152" s="18" t="s">
        <v>44</v>
      </c>
      <c r="B1152" s="19" t="s">
        <v>1165</v>
      </c>
      <c r="C1152" s="19" t="s">
        <v>1236</v>
      </c>
      <c r="D1152" s="18" t="s">
        <v>1178</v>
      </c>
      <c r="E1152" s="115" t="e" vm="238">
        <v>#VALUE!</v>
      </c>
      <c r="F1152" s="18">
        <v>90161</v>
      </c>
      <c r="G1152" s="19" t="s">
        <v>1326</v>
      </c>
      <c r="H1152" s="18">
        <v>1</v>
      </c>
      <c r="I1152" s="18" t="s">
        <v>146</v>
      </c>
    </row>
    <row r="1153" spans="1:9" ht="15.75" customHeight="1" x14ac:dyDescent="0.2">
      <c r="A1153" s="18" t="s">
        <v>44</v>
      </c>
      <c r="B1153" s="19" t="s">
        <v>1165</v>
      </c>
      <c r="C1153" s="19" t="s">
        <v>1236</v>
      </c>
      <c r="D1153" s="18" t="s">
        <v>1178</v>
      </c>
      <c r="E1153" s="116"/>
      <c r="F1153" s="18">
        <v>90162</v>
      </c>
      <c r="G1153" s="19" t="s">
        <v>1327</v>
      </c>
      <c r="H1153" s="18">
        <v>1</v>
      </c>
      <c r="I1153" s="18" t="s">
        <v>146</v>
      </c>
    </row>
    <row r="1154" spans="1:9" ht="15.75" customHeight="1" x14ac:dyDescent="0.2">
      <c r="A1154" s="18" t="s">
        <v>44</v>
      </c>
      <c r="B1154" s="19" t="s">
        <v>1165</v>
      </c>
      <c r="C1154" s="19" t="s">
        <v>1236</v>
      </c>
      <c r="D1154" s="18" t="s">
        <v>1178</v>
      </c>
      <c r="E1154" s="116"/>
      <c r="F1154" s="18">
        <v>90163</v>
      </c>
      <c r="G1154" s="19" t="s">
        <v>1328</v>
      </c>
      <c r="H1154" s="18">
        <v>1</v>
      </c>
      <c r="I1154" s="18" t="s">
        <v>146</v>
      </c>
    </row>
    <row r="1155" spans="1:9" ht="15.75" customHeight="1" x14ac:dyDescent="0.2">
      <c r="A1155" s="18" t="s">
        <v>44</v>
      </c>
      <c r="B1155" s="19" t="s">
        <v>1165</v>
      </c>
      <c r="C1155" s="19" t="s">
        <v>1236</v>
      </c>
      <c r="D1155" s="18" t="s">
        <v>1178</v>
      </c>
      <c r="E1155" s="116"/>
      <c r="F1155" s="18">
        <v>90164</v>
      </c>
      <c r="G1155" s="19" t="s">
        <v>1329</v>
      </c>
      <c r="H1155" s="18">
        <v>1</v>
      </c>
      <c r="I1155" s="18" t="s">
        <v>146</v>
      </c>
    </row>
    <row r="1156" spans="1:9" ht="15.75" customHeight="1" x14ac:dyDescent="0.2">
      <c r="A1156" s="18" t="s">
        <v>44</v>
      </c>
      <c r="B1156" s="19" t="s">
        <v>1165</v>
      </c>
      <c r="C1156" s="19" t="s">
        <v>1236</v>
      </c>
      <c r="D1156" s="18" t="s">
        <v>1178</v>
      </c>
      <c r="E1156" s="116"/>
      <c r="F1156" s="18">
        <v>90165</v>
      </c>
      <c r="G1156" s="19" t="s">
        <v>1330</v>
      </c>
      <c r="H1156" s="18">
        <v>1</v>
      </c>
      <c r="I1156" s="18" t="s">
        <v>146</v>
      </c>
    </row>
    <row r="1157" spans="1:9" ht="15.75" customHeight="1" x14ac:dyDescent="0.2">
      <c r="A1157" s="18" t="s">
        <v>44</v>
      </c>
      <c r="B1157" s="19" t="s">
        <v>1165</v>
      </c>
      <c r="C1157" s="19" t="s">
        <v>1236</v>
      </c>
      <c r="D1157" s="18" t="s">
        <v>1178</v>
      </c>
      <c r="E1157" s="116"/>
      <c r="F1157" s="18">
        <v>90166</v>
      </c>
      <c r="G1157" s="19" t="s">
        <v>1331</v>
      </c>
      <c r="H1157" s="18">
        <v>1</v>
      </c>
      <c r="I1157" s="18" t="s">
        <v>146</v>
      </c>
    </row>
    <row r="1158" spans="1:9" ht="15.75" customHeight="1" x14ac:dyDescent="0.2">
      <c r="A1158" s="18" t="s">
        <v>44</v>
      </c>
      <c r="B1158" s="19" t="s">
        <v>1165</v>
      </c>
      <c r="C1158" s="19" t="s">
        <v>1236</v>
      </c>
      <c r="D1158" s="18" t="s">
        <v>1178</v>
      </c>
      <c r="E1158" s="116"/>
      <c r="F1158" s="18">
        <v>90167</v>
      </c>
      <c r="G1158" s="19" t="s">
        <v>1332</v>
      </c>
      <c r="H1158" s="18">
        <v>1</v>
      </c>
      <c r="I1158" s="18" t="s">
        <v>146</v>
      </c>
    </row>
    <row r="1159" spans="1:9" ht="15.75" customHeight="1" x14ac:dyDescent="0.2">
      <c r="A1159" s="18" t="s">
        <v>44</v>
      </c>
      <c r="B1159" s="19" t="s">
        <v>1165</v>
      </c>
      <c r="C1159" s="19" t="s">
        <v>1236</v>
      </c>
      <c r="D1159" s="18" t="s">
        <v>1178</v>
      </c>
      <c r="E1159" s="117"/>
      <c r="F1159" s="18">
        <v>90168</v>
      </c>
      <c r="G1159" s="19" t="s">
        <v>1333</v>
      </c>
      <c r="H1159" s="18">
        <v>1</v>
      </c>
      <c r="I1159" s="18" t="s">
        <v>146</v>
      </c>
    </row>
    <row r="1160" spans="1:9" ht="15.75" customHeight="1" x14ac:dyDescent="0.2">
      <c r="A1160" s="18" t="s">
        <v>44</v>
      </c>
      <c r="B1160" s="19" t="s">
        <v>1165</v>
      </c>
      <c r="C1160" s="19" t="s">
        <v>1236</v>
      </c>
      <c r="D1160" s="18" t="s">
        <v>1178</v>
      </c>
      <c r="E1160" s="106" t="e" vm="239">
        <v>#VALUE!</v>
      </c>
      <c r="F1160" s="18">
        <v>90169</v>
      </c>
      <c r="G1160" s="19" t="s">
        <v>1334</v>
      </c>
      <c r="H1160" s="18">
        <v>1</v>
      </c>
      <c r="I1160" s="18" t="s">
        <v>146</v>
      </c>
    </row>
    <row r="1161" spans="1:9" ht="15.75" customHeight="1" x14ac:dyDescent="0.2">
      <c r="A1161" s="18" t="s">
        <v>44</v>
      </c>
      <c r="B1161" s="19" t="s">
        <v>1165</v>
      </c>
      <c r="C1161" s="19" t="s">
        <v>1236</v>
      </c>
      <c r="D1161" s="18" t="s">
        <v>1178</v>
      </c>
      <c r="E1161" s="105"/>
      <c r="F1161" s="18">
        <v>90170</v>
      </c>
      <c r="G1161" s="19" t="s">
        <v>1335</v>
      </c>
      <c r="H1161" s="18">
        <v>1</v>
      </c>
      <c r="I1161" s="18" t="s">
        <v>146</v>
      </c>
    </row>
    <row r="1162" spans="1:9" ht="24" customHeight="1" x14ac:dyDescent="0.2">
      <c r="A1162" s="18" t="s">
        <v>44</v>
      </c>
      <c r="B1162" s="19" t="s">
        <v>1165</v>
      </c>
      <c r="C1162" s="19" t="s">
        <v>1236</v>
      </c>
      <c r="D1162" s="18" t="s">
        <v>1178</v>
      </c>
      <c r="E1162" s="79" t="e" vm="240">
        <v>#VALUE!</v>
      </c>
      <c r="F1162" s="18">
        <v>90171</v>
      </c>
      <c r="G1162" s="19" t="s">
        <v>1336</v>
      </c>
      <c r="H1162" s="18">
        <v>1</v>
      </c>
      <c r="I1162" s="18" t="s">
        <v>146</v>
      </c>
    </row>
    <row r="1163" spans="1:9" ht="24" customHeight="1" x14ac:dyDescent="0.2">
      <c r="A1163" s="18" t="s">
        <v>44</v>
      </c>
      <c r="B1163" s="19" t="s">
        <v>1165</v>
      </c>
      <c r="C1163" s="19" t="s">
        <v>1236</v>
      </c>
      <c r="D1163" s="18" t="s">
        <v>1178</v>
      </c>
      <c r="E1163" s="79" t="e" vm="241">
        <v>#VALUE!</v>
      </c>
      <c r="F1163" s="18">
        <v>90172</v>
      </c>
      <c r="G1163" s="19" t="s">
        <v>1337</v>
      </c>
      <c r="H1163" s="18">
        <v>1</v>
      </c>
      <c r="I1163" s="18" t="s">
        <v>146</v>
      </c>
    </row>
    <row r="1164" spans="1:9" ht="24" customHeight="1" x14ac:dyDescent="0.2">
      <c r="A1164" s="18" t="s">
        <v>1338</v>
      </c>
      <c r="B1164" s="19" t="s">
        <v>1339</v>
      </c>
      <c r="C1164" s="19" t="s">
        <v>1340</v>
      </c>
      <c r="D1164" s="21" t="s">
        <v>1341</v>
      </c>
      <c r="E1164" s="23" t="e" vm="242">
        <v>#VALUE!</v>
      </c>
      <c r="F1164" s="23">
        <v>80001</v>
      </c>
      <c r="G1164" s="39" t="s">
        <v>1342</v>
      </c>
      <c r="H1164" s="18">
        <v>1</v>
      </c>
      <c r="I1164" s="18" t="s">
        <v>146</v>
      </c>
    </row>
    <row r="1165" spans="1:9" ht="24" customHeight="1" x14ac:dyDescent="0.2">
      <c r="A1165" s="18" t="s">
        <v>1338</v>
      </c>
      <c r="B1165" s="19" t="s">
        <v>1339</v>
      </c>
      <c r="C1165" s="19" t="s">
        <v>1340</v>
      </c>
      <c r="D1165" s="21" t="s">
        <v>1341</v>
      </c>
      <c r="E1165" s="23" t="e" vm="243">
        <v>#VALUE!</v>
      </c>
      <c r="F1165" s="23">
        <v>80002</v>
      </c>
      <c r="G1165" s="39" t="s">
        <v>1343</v>
      </c>
      <c r="H1165" s="18">
        <v>1</v>
      </c>
      <c r="I1165" s="18" t="s">
        <v>146</v>
      </c>
    </row>
    <row r="1166" spans="1:9" ht="24" customHeight="1" x14ac:dyDescent="0.2">
      <c r="A1166" s="18" t="s">
        <v>1338</v>
      </c>
      <c r="B1166" s="19" t="s">
        <v>1339</v>
      </c>
      <c r="C1166" s="19" t="s">
        <v>1340</v>
      </c>
      <c r="D1166" s="21" t="s">
        <v>1341</v>
      </c>
      <c r="E1166" s="23" t="e" vm="244">
        <v>#VALUE!</v>
      </c>
      <c r="F1166" s="23">
        <v>80003</v>
      </c>
      <c r="G1166" s="39" t="s">
        <v>1344</v>
      </c>
      <c r="H1166" s="18">
        <v>1</v>
      </c>
      <c r="I1166" s="18" t="s">
        <v>146</v>
      </c>
    </row>
    <row r="1167" spans="1:9" ht="24" customHeight="1" x14ac:dyDescent="0.2">
      <c r="A1167" s="18" t="s">
        <v>1338</v>
      </c>
      <c r="B1167" s="19" t="s">
        <v>1339</v>
      </c>
      <c r="C1167" s="19" t="s">
        <v>1340</v>
      </c>
      <c r="D1167" s="21" t="s">
        <v>1345</v>
      </c>
      <c r="E1167" s="23" t="e" vm="245">
        <v>#VALUE!</v>
      </c>
      <c r="F1167" s="23">
        <v>80004</v>
      </c>
      <c r="G1167" s="39" t="s">
        <v>1346</v>
      </c>
      <c r="H1167" s="18">
        <v>1</v>
      </c>
      <c r="I1167" s="18" t="s">
        <v>146</v>
      </c>
    </row>
    <row r="1168" spans="1:9" ht="24" customHeight="1" x14ac:dyDescent="0.2">
      <c r="A1168" s="18" t="s">
        <v>1338</v>
      </c>
      <c r="B1168" s="19" t="s">
        <v>1339</v>
      </c>
      <c r="C1168" s="19" t="s">
        <v>1340</v>
      </c>
      <c r="D1168" s="21" t="s">
        <v>1345</v>
      </c>
      <c r="E1168" s="23" t="e" vm="246">
        <v>#VALUE!</v>
      </c>
      <c r="F1168" s="23">
        <v>80005</v>
      </c>
      <c r="G1168" s="39" t="s">
        <v>1347</v>
      </c>
      <c r="H1168" s="18">
        <v>1</v>
      </c>
      <c r="I1168" s="18" t="s">
        <v>146</v>
      </c>
    </row>
    <row r="1169" spans="1:9" ht="24" customHeight="1" x14ac:dyDescent="0.2">
      <c r="A1169" s="18" t="s">
        <v>1338</v>
      </c>
      <c r="B1169" s="19" t="s">
        <v>1339</v>
      </c>
      <c r="C1169" s="19" t="s">
        <v>1340</v>
      </c>
      <c r="D1169" s="21" t="s">
        <v>1348</v>
      </c>
      <c r="E1169" s="23" t="e" vm="247">
        <v>#VALUE!</v>
      </c>
      <c r="F1169" s="23">
        <v>80006</v>
      </c>
      <c r="G1169" s="39" t="s">
        <v>1349</v>
      </c>
      <c r="H1169" s="18">
        <v>1</v>
      </c>
      <c r="I1169" s="18" t="s">
        <v>146</v>
      </c>
    </row>
    <row r="1170" spans="1:9" ht="24" customHeight="1" x14ac:dyDescent="0.2">
      <c r="A1170" s="18" t="s">
        <v>1338</v>
      </c>
      <c r="B1170" s="19" t="s">
        <v>1339</v>
      </c>
      <c r="C1170" s="19" t="s">
        <v>1340</v>
      </c>
      <c r="D1170" s="21" t="s">
        <v>1348</v>
      </c>
      <c r="E1170" s="23" t="e" vm="248">
        <v>#VALUE!</v>
      </c>
      <c r="F1170" s="23">
        <v>80007</v>
      </c>
      <c r="G1170" s="39" t="s">
        <v>1350</v>
      </c>
      <c r="H1170" s="18">
        <v>1</v>
      </c>
      <c r="I1170" s="18" t="s">
        <v>146</v>
      </c>
    </row>
    <row r="1171" spans="1:9" ht="24" customHeight="1" x14ac:dyDescent="0.2">
      <c r="A1171" s="18" t="s">
        <v>1338</v>
      </c>
      <c r="B1171" s="19" t="s">
        <v>1339</v>
      </c>
      <c r="C1171" s="19" t="s">
        <v>1340</v>
      </c>
      <c r="D1171" s="21" t="s">
        <v>1351</v>
      </c>
      <c r="E1171" s="23" t="e" vm="249">
        <v>#VALUE!</v>
      </c>
      <c r="F1171" s="23">
        <v>80008</v>
      </c>
      <c r="G1171" s="39" t="s">
        <v>1352</v>
      </c>
      <c r="H1171" s="18">
        <v>1</v>
      </c>
      <c r="I1171" s="18" t="s">
        <v>146</v>
      </c>
    </row>
    <row r="1172" spans="1:9" ht="24" customHeight="1" x14ac:dyDescent="0.2">
      <c r="A1172" s="18" t="s">
        <v>1338</v>
      </c>
      <c r="B1172" s="19" t="s">
        <v>1339</v>
      </c>
      <c r="C1172" s="19" t="s">
        <v>1340</v>
      </c>
      <c r="D1172" s="21" t="s">
        <v>1351</v>
      </c>
      <c r="E1172" s="23" t="e" vm="249">
        <v>#VALUE!</v>
      </c>
      <c r="F1172" s="23">
        <v>80009</v>
      </c>
      <c r="G1172" s="39" t="s">
        <v>1353</v>
      </c>
      <c r="H1172" s="18">
        <v>1</v>
      </c>
      <c r="I1172" s="18" t="s">
        <v>146</v>
      </c>
    </row>
    <row r="1173" spans="1:9" ht="24" customHeight="1" x14ac:dyDescent="0.2">
      <c r="A1173" s="18" t="s">
        <v>1338</v>
      </c>
      <c r="B1173" s="19" t="s">
        <v>1339</v>
      </c>
      <c r="C1173" s="19" t="s">
        <v>1340</v>
      </c>
      <c r="D1173" s="21" t="s">
        <v>1351</v>
      </c>
      <c r="E1173" s="23" t="e" vm="249">
        <v>#VALUE!</v>
      </c>
      <c r="F1173" s="23">
        <v>80010</v>
      </c>
      <c r="G1173" s="39" t="s">
        <v>1354</v>
      </c>
      <c r="H1173" s="18">
        <v>1</v>
      </c>
      <c r="I1173" s="18" t="s">
        <v>146</v>
      </c>
    </row>
    <row r="1174" spans="1:9" ht="24" customHeight="1" x14ac:dyDescent="0.2">
      <c r="A1174" s="18" t="s">
        <v>1338</v>
      </c>
      <c r="B1174" s="19" t="s">
        <v>1339</v>
      </c>
      <c r="C1174" s="19" t="s">
        <v>1340</v>
      </c>
      <c r="D1174" s="21" t="s">
        <v>1351</v>
      </c>
      <c r="E1174" s="23" t="e" vm="249">
        <v>#VALUE!</v>
      </c>
      <c r="F1174" s="23">
        <v>80011</v>
      </c>
      <c r="G1174" s="39" t="s">
        <v>1355</v>
      </c>
      <c r="H1174" s="18">
        <v>1</v>
      </c>
      <c r="I1174" s="18" t="s">
        <v>146</v>
      </c>
    </row>
    <row r="1175" spans="1:9" ht="24" customHeight="1" x14ac:dyDescent="0.2">
      <c r="A1175" s="18" t="s">
        <v>1338</v>
      </c>
      <c r="B1175" s="19" t="s">
        <v>1339</v>
      </c>
      <c r="C1175" s="19" t="s">
        <v>1340</v>
      </c>
      <c r="D1175" s="21" t="s">
        <v>1356</v>
      </c>
      <c r="E1175" s="23" t="e" vm="250">
        <v>#VALUE!</v>
      </c>
      <c r="F1175" s="23">
        <v>80012</v>
      </c>
      <c r="G1175" s="39" t="s">
        <v>1357</v>
      </c>
      <c r="H1175" s="18">
        <v>1</v>
      </c>
      <c r="I1175" s="18" t="s">
        <v>146</v>
      </c>
    </row>
    <row r="1176" spans="1:9" ht="24" customHeight="1" x14ac:dyDescent="0.2">
      <c r="A1176" s="18" t="s">
        <v>1338</v>
      </c>
      <c r="B1176" s="19" t="s">
        <v>1339</v>
      </c>
      <c r="C1176" s="19" t="s">
        <v>1340</v>
      </c>
      <c r="D1176" s="21" t="s">
        <v>1356</v>
      </c>
      <c r="E1176" s="23" t="e" vm="251">
        <v>#VALUE!</v>
      </c>
      <c r="F1176" s="23">
        <v>80013</v>
      </c>
      <c r="G1176" s="39" t="s">
        <v>1358</v>
      </c>
      <c r="H1176" s="18">
        <v>1</v>
      </c>
      <c r="I1176" s="18" t="s">
        <v>146</v>
      </c>
    </row>
    <row r="1177" spans="1:9" ht="24" customHeight="1" x14ac:dyDescent="0.2">
      <c r="A1177" s="18" t="s">
        <v>1338</v>
      </c>
      <c r="B1177" s="19" t="s">
        <v>1339</v>
      </c>
      <c r="C1177" s="19" t="s">
        <v>1340</v>
      </c>
      <c r="D1177" s="21" t="s">
        <v>1359</v>
      </c>
      <c r="E1177" s="23" t="e" vm="252">
        <v>#VALUE!</v>
      </c>
      <c r="F1177" s="23">
        <v>80014</v>
      </c>
      <c r="G1177" s="39" t="s">
        <v>1360</v>
      </c>
      <c r="H1177" s="18">
        <v>1</v>
      </c>
      <c r="I1177" s="18" t="s">
        <v>146</v>
      </c>
    </row>
    <row r="1178" spans="1:9" ht="15.75" customHeight="1" x14ac:dyDescent="0.2">
      <c r="A1178" s="19" t="s">
        <v>32</v>
      </c>
      <c r="B1178" s="19" t="s">
        <v>1361</v>
      </c>
      <c r="C1178" s="19" t="s">
        <v>1362</v>
      </c>
      <c r="D1178" s="21" t="s">
        <v>46</v>
      </c>
      <c r="E1178" s="103" t="e" vm="253">
        <v>#VALUE!</v>
      </c>
      <c r="F1178" s="18">
        <v>15301</v>
      </c>
      <c r="G1178" s="19" t="s">
        <v>1363</v>
      </c>
      <c r="H1178" s="18">
        <v>50</v>
      </c>
      <c r="I1178" s="18" t="s">
        <v>48</v>
      </c>
    </row>
    <row r="1179" spans="1:9" ht="15.75" customHeight="1" x14ac:dyDescent="0.2">
      <c r="A1179" s="19" t="s">
        <v>32</v>
      </c>
      <c r="B1179" s="19" t="s">
        <v>1361</v>
      </c>
      <c r="C1179" s="19" t="s">
        <v>1362</v>
      </c>
      <c r="D1179" s="21" t="s">
        <v>46</v>
      </c>
      <c r="E1179" s="104"/>
      <c r="F1179" s="18">
        <v>15302</v>
      </c>
      <c r="G1179" s="19" t="s">
        <v>1364</v>
      </c>
      <c r="H1179" s="18">
        <v>20</v>
      </c>
      <c r="I1179" s="18" t="s">
        <v>48</v>
      </c>
    </row>
    <row r="1180" spans="1:9" ht="15.75" customHeight="1" x14ac:dyDescent="0.2">
      <c r="A1180" s="19" t="s">
        <v>32</v>
      </c>
      <c r="B1180" s="19" t="s">
        <v>1361</v>
      </c>
      <c r="C1180" s="19" t="s">
        <v>1362</v>
      </c>
      <c r="D1180" s="21" t="s">
        <v>46</v>
      </c>
      <c r="E1180" s="104"/>
      <c r="F1180" s="18">
        <v>15310</v>
      </c>
      <c r="G1180" s="19" t="s">
        <v>1365</v>
      </c>
      <c r="H1180" s="18">
        <v>20</v>
      </c>
      <c r="I1180" s="18" t="s">
        <v>48</v>
      </c>
    </row>
    <row r="1181" spans="1:9" ht="15.75" customHeight="1" x14ac:dyDescent="0.2">
      <c r="A1181" s="19" t="s">
        <v>32</v>
      </c>
      <c r="B1181" s="19" t="s">
        <v>1361</v>
      </c>
      <c r="C1181" s="19" t="s">
        <v>1362</v>
      </c>
      <c r="D1181" s="21" t="s">
        <v>46</v>
      </c>
      <c r="E1181" s="104"/>
      <c r="F1181" s="18">
        <v>15311</v>
      </c>
      <c r="G1181" s="19" t="s">
        <v>1366</v>
      </c>
      <c r="H1181" s="18">
        <v>10</v>
      </c>
      <c r="I1181" s="18" t="s">
        <v>168</v>
      </c>
    </row>
    <row r="1182" spans="1:9" ht="15.75" customHeight="1" x14ac:dyDescent="0.2">
      <c r="A1182" s="19" t="s">
        <v>32</v>
      </c>
      <c r="B1182" s="19" t="s">
        <v>1361</v>
      </c>
      <c r="C1182" s="19" t="s">
        <v>1362</v>
      </c>
      <c r="D1182" s="21" t="s">
        <v>46</v>
      </c>
      <c r="E1182" s="104"/>
      <c r="F1182" s="18">
        <v>15320</v>
      </c>
      <c r="G1182" s="19" t="s">
        <v>1367</v>
      </c>
      <c r="H1182" s="18">
        <v>1</v>
      </c>
      <c r="I1182" s="18" t="s">
        <v>168</v>
      </c>
    </row>
    <row r="1183" spans="1:9" ht="15.75" customHeight="1" x14ac:dyDescent="0.2">
      <c r="A1183" s="19" t="s">
        <v>32</v>
      </c>
      <c r="B1183" s="19" t="s">
        <v>1361</v>
      </c>
      <c r="C1183" s="19" t="s">
        <v>1362</v>
      </c>
      <c r="D1183" s="21" t="s">
        <v>46</v>
      </c>
      <c r="E1183" s="104"/>
      <c r="F1183" s="18">
        <v>15321</v>
      </c>
      <c r="G1183" s="19" t="s">
        <v>1368</v>
      </c>
      <c r="H1183" s="18">
        <v>1</v>
      </c>
      <c r="I1183" s="18" t="s">
        <v>168</v>
      </c>
    </row>
    <row r="1184" spans="1:9" ht="15.75" customHeight="1" x14ac:dyDescent="0.2">
      <c r="A1184" s="19" t="s">
        <v>32</v>
      </c>
      <c r="B1184" s="19" t="s">
        <v>1361</v>
      </c>
      <c r="C1184" s="19" t="s">
        <v>1362</v>
      </c>
      <c r="D1184" s="21" t="s">
        <v>46</v>
      </c>
      <c r="E1184" s="104"/>
      <c r="F1184" s="18">
        <v>15340</v>
      </c>
      <c r="G1184" s="19" t="s">
        <v>1369</v>
      </c>
      <c r="H1184" s="18">
        <v>25</v>
      </c>
      <c r="I1184" s="18" t="s">
        <v>48</v>
      </c>
    </row>
    <row r="1185" spans="1:9" ht="15.75" customHeight="1" x14ac:dyDescent="0.2">
      <c r="A1185" s="19" t="s">
        <v>32</v>
      </c>
      <c r="B1185" s="19" t="s">
        <v>1361</v>
      </c>
      <c r="C1185" s="19" t="s">
        <v>1362</v>
      </c>
      <c r="D1185" s="21" t="s">
        <v>46</v>
      </c>
      <c r="E1185" s="104"/>
      <c r="F1185" s="18">
        <v>15341</v>
      </c>
      <c r="G1185" s="19" t="s">
        <v>1370</v>
      </c>
      <c r="H1185" s="18">
        <v>20</v>
      </c>
      <c r="I1185" s="18" t="s">
        <v>48</v>
      </c>
    </row>
    <row r="1186" spans="1:9" ht="15.75" customHeight="1" x14ac:dyDescent="0.2">
      <c r="A1186" s="19" t="s">
        <v>32</v>
      </c>
      <c r="B1186" s="19" t="s">
        <v>1361</v>
      </c>
      <c r="C1186" s="19" t="s">
        <v>1362</v>
      </c>
      <c r="D1186" s="21" t="s">
        <v>46</v>
      </c>
      <c r="E1186" s="104"/>
      <c r="F1186" s="18">
        <v>15350</v>
      </c>
      <c r="G1186" s="19" t="s">
        <v>1371</v>
      </c>
      <c r="H1186" s="18">
        <v>20</v>
      </c>
      <c r="I1186" s="18" t="s">
        <v>48</v>
      </c>
    </row>
    <row r="1187" spans="1:9" ht="15.75" customHeight="1" x14ac:dyDescent="0.2">
      <c r="A1187" s="19" t="s">
        <v>32</v>
      </c>
      <c r="B1187" s="19" t="s">
        <v>1361</v>
      </c>
      <c r="C1187" s="19" t="s">
        <v>1362</v>
      </c>
      <c r="D1187" s="21" t="s">
        <v>46</v>
      </c>
      <c r="E1187" s="104"/>
      <c r="F1187" s="18">
        <v>15351</v>
      </c>
      <c r="G1187" s="19" t="s">
        <v>1372</v>
      </c>
      <c r="H1187" s="18">
        <v>10</v>
      </c>
      <c r="I1187" s="18" t="s">
        <v>48</v>
      </c>
    </row>
    <row r="1188" spans="1:9" ht="15.75" customHeight="1" x14ac:dyDescent="0.2">
      <c r="A1188" s="19" t="s">
        <v>32</v>
      </c>
      <c r="B1188" s="19" t="s">
        <v>1361</v>
      </c>
      <c r="C1188" s="19" t="s">
        <v>1362</v>
      </c>
      <c r="D1188" s="21" t="s">
        <v>46</v>
      </c>
      <c r="E1188" s="104"/>
      <c r="F1188" s="18">
        <v>15360</v>
      </c>
      <c r="G1188" s="19" t="s">
        <v>1373</v>
      </c>
      <c r="H1188" s="18">
        <v>1</v>
      </c>
      <c r="I1188" s="18" t="s">
        <v>168</v>
      </c>
    </row>
    <row r="1189" spans="1:9" ht="15.75" customHeight="1" x14ac:dyDescent="0.2">
      <c r="A1189" s="19" t="s">
        <v>32</v>
      </c>
      <c r="B1189" s="19" t="s">
        <v>1361</v>
      </c>
      <c r="C1189" s="19" t="s">
        <v>1362</v>
      </c>
      <c r="D1189" s="21" t="s">
        <v>46</v>
      </c>
      <c r="E1189" s="104"/>
      <c r="F1189" s="18">
        <v>15361</v>
      </c>
      <c r="G1189" s="19" t="s">
        <v>1374</v>
      </c>
      <c r="H1189" s="18">
        <v>1</v>
      </c>
      <c r="I1189" s="18" t="s">
        <v>168</v>
      </c>
    </row>
    <row r="1190" spans="1:9" ht="15.75" customHeight="1" x14ac:dyDescent="0.2">
      <c r="A1190" s="19" t="s">
        <v>32</v>
      </c>
      <c r="B1190" s="19" t="s">
        <v>1361</v>
      </c>
      <c r="C1190" s="19" t="s">
        <v>1375</v>
      </c>
      <c r="D1190" s="21" t="s">
        <v>46</v>
      </c>
      <c r="E1190" s="113" t="e" vm="254">
        <v>#VALUE!</v>
      </c>
      <c r="F1190" s="18">
        <v>15390</v>
      </c>
      <c r="G1190" s="19" t="s">
        <v>1376</v>
      </c>
      <c r="H1190" s="18">
        <v>1</v>
      </c>
      <c r="I1190" s="18" t="s">
        <v>146</v>
      </c>
    </row>
    <row r="1191" spans="1:9" ht="15.75" customHeight="1" x14ac:dyDescent="0.2">
      <c r="A1191" s="19" t="s">
        <v>32</v>
      </c>
      <c r="B1191" s="19" t="s">
        <v>1361</v>
      </c>
      <c r="C1191" s="19" t="s">
        <v>1375</v>
      </c>
      <c r="D1191" s="21" t="s">
        <v>46</v>
      </c>
      <c r="E1191" s="104"/>
      <c r="F1191" s="18">
        <v>15391</v>
      </c>
      <c r="G1191" s="19" t="s">
        <v>1377</v>
      </c>
      <c r="H1191" s="18">
        <v>1</v>
      </c>
      <c r="I1191" s="18" t="s">
        <v>146</v>
      </c>
    </row>
    <row r="1192" spans="1:9" ht="15.75" customHeight="1" x14ac:dyDescent="0.2">
      <c r="A1192" s="19" t="s">
        <v>32</v>
      </c>
      <c r="B1192" s="19" t="s">
        <v>1361</v>
      </c>
      <c r="C1192" s="19" t="s">
        <v>1375</v>
      </c>
      <c r="D1192" s="21" t="s">
        <v>46</v>
      </c>
      <c r="E1192" s="105"/>
      <c r="F1192" s="18">
        <v>15392</v>
      </c>
      <c r="G1192" s="19" t="s">
        <v>1378</v>
      </c>
      <c r="H1192" s="18">
        <v>1</v>
      </c>
      <c r="I1192" s="18" t="s">
        <v>146</v>
      </c>
    </row>
    <row r="1193" spans="1:9" ht="15.75" customHeight="1" x14ac:dyDescent="0.2">
      <c r="A1193" s="19" t="s">
        <v>32</v>
      </c>
      <c r="B1193" s="19" t="s">
        <v>1361</v>
      </c>
      <c r="C1193" s="20" t="s">
        <v>1379</v>
      </c>
      <c r="D1193" s="21" t="s">
        <v>77</v>
      </c>
      <c r="E1193" s="103" t="e" vm="255">
        <v>#VALUE!</v>
      </c>
      <c r="F1193" s="18">
        <v>53001</v>
      </c>
      <c r="G1193" s="19" t="s">
        <v>1380</v>
      </c>
      <c r="H1193" s="18">
        <v>50</v>
      </c>
      <c r="I1193" s="18" t="s">
        <v>1381</v>
      </c>
    </row>
    <row r="1194" spans="1:9" ht="15.75" customHeight="1" x14ac:dyDescent="0.2">
      <c r="A1194" s="19" t="s">
        <v>32</v>
      </c>
      <c r="B1194" s="19" t="s">
        <v>1361</v>
      </c>
      <c r="C1194" s="20" t="s">
        <v>1379</v>
      </c>
      <c r="D1194" s="21" t="s">
        <v>77</v>
      </c>
      <c r="E1194" s="104"/>
      <c r="F1194" s="18">
        <v>353002</v>
      </c>
      <c r="G1194" s="19" t="s">
        <v>1382</v>
      </c>
      <c r="H1194" s="18">
        <v>30</v>
      </c>
      <c r="I1194" s="18" t="s">
        <v>1381</v>
      </c>
    </row>
    <row r="1195" spans="1:9" ht="15.75" customHeight="1" x14ac:dyDescent="0.2">
      <c r="A1195" s="19" t="s">
        <v>32</v>
      </c>
      <c r="B1195" s="19" t="s">
        <v>1361</v>
      </c>
      <c r="C1195" s="20" t="s">
        <v>1379</v>
      </c>
      <c r="D1195" s="21" t="s">
        <v>77</v>
      </c>
      <c r="E1195" s="104"/>
      <c r="F1195" s="18">
        <v>353003</v>
      </c>
      <c r="G1195" s="19" t="s">
        <v>1383</v>
      </c>
      <c r="H1195" s="18">
        <v>20</v>
      </c>
      <c r="I1195" s="18" t="s">
        <v>1381</v>
      </c>
    </row>
    <row r="1196" spans="1:9" ht="15.75" customHeight="1" x14ac:dyDescent="0.2">
      <c r="A1196" s="19" t="s">
        <v>32</v>
      </c>
      <c r="B1196" s="19" t="s">
        <v>1361</v>
      </c>
      <c r="C1196" s="20" t="s">
        <v>1379</v>
      </c>
      <c r="D1196" s="21" t="s">
        <v>77</v>
      </c>
      <c r="E1196" s="105"/>
      <c r="F1196" s="18">
        <v>353004</v>
      </c>
      <c r="G1196" s="19" t="s">
        <v>1384</v>
      </c>
      <c r="H1196" s="18">
        <v>20</v>
      </c>
      <c r="I1196" s="18" t="s">
        <v>1381</v>
      </c>
    </row>
    <row r="1197" spans="1:9" ht="15.75" customHeight="1" x14ac:dyDescent="0.2">
      <c r="A1197" s="19" t="s">
        <v>32</v>
      </c>
      <c r="B1197" s="19" t="s">
        <v>1361</v>
      </c>
      <c r="C1197" s="20" t="s">
        <v>1379</v>
      </c>
      <c r="D1197" s="21" t="s">
        <v>77</v>
      </c>
      <c r="E1197" s="103" t="e" vm="256">
        <v>#VALUE!</v>
      </c>
      <c r="F1197" s="18">
        <v>353101</v>
      </c>
      <c r="G1197" s="19" t="s">
        <v>1385</v>
      </c>
      <c r="H1197" s="18">
        <v>50</v>
      </c>
      <c r="I1197" s="18" t="s">
        <v>1381</v>
      </c>
    </row>
    <row r="1198" spans="1:9" ht="15.75" customHeight="1" x14ac:dyDescent="0.2">
      <c r="A1198" s="19" t="s">
        <v>32</v>
      </c>
      <c r="B1198" s="19" t="s">
        <v>1361</v>
      </c>
      <c r="C1198" s="20" t="s">
        <v>1379</v>
      </c>
      <c r="D1198" s="21" t="s">
        <v>77</v>
      </c>
      <c r="E1198" s="104"/>
      <c r="F1198" s="18">
        <v>353102</v>
      </c>
      <c r="G1198" s="19" t="s">
        <v>1386</v>
      </c>
      <c r="H1198" s="18">
        <v>50</v>
      </c>
      <c r="I1198" s="18" t="s">
        <v>1381</v>
      </c>
    </row>
    <row r="1199" spans="1:9" ht="15.75" customHeight="1" x14ac:dyDescent="0.2">
      <c r="A1199" s="19" t="s">
        <v>32</v>
      </c>
      <c r="B1199" s="19" t="s">
        <v>1361</v>
      </c>
      <c r="C1199" s="20" t="s">
        <v>1379</v>
      </c>
      <c r="D1199" s="21" t="s">
        <v>77</v>
      </c>
      <c r="E1199" s="104"/>
      <c r="F1199" s="18">
        <v>353103</v>
      </c>
      <c r="G1199" s="19" t="s">
        <v>1387</v>
      </c>
      <c r="H1199" s="18">
        <v>20</v>
      </c>
      <c r="I1199" s="18" t="s">
        <v>1381</v>
      </c>
    </row>
    <row r="1200" spans="1:9" ht="15.75" customHeight="1" x14ac:dyDescent="0.2">
      <c r="A1200" s="19" t="s">
        <v>32</v>
      </c>
      <c r="B1200" s="19" t="s">
        <v>1361</v>
      </c>
      <c r="C1200" s="20" t="s">
        <v>1379</v>
      </c>
      <c r="D1200" s="21" t="s">
        <v>77</v>
      </c>
      <c r="E1200" s="105"/>
      <c r="F1200" s="18">
        <v>353104</v>
      </c>
      <c r="G1200" s="19" t="s">
        <v>1388</v>
      </c>
      <c r="H1200" s="18">
        <v>10</v>
      </c>
      <c r="I1200" s="18" t="s">
        <v>1381</v>
      </c>
    </row>
    <row r="1201" spans="1:9" ht="15.75" customHeight="1" x14ac:dyDescent="0.2">
      <c r="A1201" s="19" t="s">
        <v>32</v>
      </c>
      <c r="B1201" s="19" t="s">
        <v>1361</v>
      </c>
      <c r="C1201" s="20" t="s">
        <v>1379</v>
      </c>
      <c r="D1201" s="21" t="s">
        <v>77</v>
      </c>
      <c r="E1201" s="103" t="e" vm="257">
        <v>#VALUE!</v>
      </c>
      <c r="F1201" s="18">
        <v>353202</v>
      </c>
      <c r="G1201" s="19" t="s">
        <v>1389</v>
      </c>
      <c r="H1201" s="18">
        <v>50</v>
      </c>
      <c r="I1201" s="18" t="s">
        <v>1381</v>
      </c>
    </row>
    <row r="1202" spans="1:9" ht="15.75" customHeight="1" x14ac:dyDescent="0.2">
      <c r="A1202" s="19" t="s">
        <v>32</v>
      </c>
      <c r="B1202" s="19" t="s">
        <v>1361</v>
      </c>
      <c r="C1202" s="20" t="s">
        <v>1379</v>
      </c>
      <c r="D1202" s="21" t="s">
        <v>77</v>
      </c>
      <c r="E1202" s="104"/>
      <c r="F1202" s="18">
        <v>353203</v>
      </c>
      <c r="G1202" s="19" t="s">
        <v>1390</v>
      </c>
      <c r="H1202" s="18">
        <v>20</v>
      </c>
      <c r="I1202" s="18" t="s">
        <v>1381</v>
      </c>
    </row>
    <row r="1203" spans="1:9" ht="15.75" customHeight="1" x14ac:dyDescent="0.2">
      <c r="A1203" s="19" t="s">
        <v>32</v>
      </c>
      <c r="B1203" s="19" t="s">
        <v>1361</v>
      </c>
      <c r="C1203" s="20" t="s">
        <v>1379</v>
      </c>
      <c r="D1203" s="21" t="s">
        <v>77</v>
      </c>
      <c r="E1203" s="105"/>
      <c r="F1203" s="18">
        <v>353204</v>
      </c>
      <c r="G1203" s="19" t="s">
        <v>1391</v>
      </c>
      <c r="H1203" s="18">
        <v>10</v>
      </c>
      <c r="I1203" s="18" t="s">
        <v>48</v>
      </c>
    </row>
    <row r="1204" spans="1:9" ht="15.75" customHeight="1" x14ac:dyDescent="0.2">
      <c r="A1204" s="19" t="s">
        <v>32</v>
      </c>
      <c r="B1204" s="19" t="s">
        <v>1361</v>
      </c>
      <c r="C1204" s="20" t="s">
        <v>1379</v>
      </c>
      <c r="D1204" s="21" t="s">
        <v>77</v>
      </c>
      <c r="E1204" s="103" t="e" vm="258">
        <v>#VALUE!</v>
      </c>
      <c r="F1204" s="18">
        <v>353501</v>
      </c>
      <c r="G1204" s="19" t="s">
        <v>1392</v>
      </c>
      <c r="H1204" s="18">
        <v>50</v>
      </c>
      <c r="I1204" s="18" t="s">
        <v>1381</v>
      </c>
    </row>
    <row r="1205" spans="1:9" ht="15.75" customHeight="1" x14ac:dyDescent="0.2">
      <c r="A1205" s="19" t="s">
        <v>32</v>
      </c>
      <c r="B1205" s="19" t="s">
        <v>1361</v>
      </c>
      <c r="C1205" s="20" t="s">
        <v>1379</v>
      </c>
      <c r="D1205" s="21" t="s">
        <v>77</v>
      </c>
      <c r="E1205" s="104"/>
      <c r="F1205" s="18">
        <v>353502</v>
      </c>
      <c r="G1205" s="19" t="s">
        <v>1393</v>
      </c>
      <c r="H1205" s="18">
        <v>30</v>
      </c>
      <c r="I1205" s="18" t="s">
        <v>1381</v>
      </c>
    </row>
    <row r="1206" spans="1:9" ht="15.75" customHeight="1" x14ac:dyDescent="0.2">
      <c r="A1206" s="19" t="s">
        <v>32</v>
      </c>
      <c r="B1206" s="19" t="s">
        <v>1361</v>
      </c>
      <c r="C1206" s="20" t="s">
        <v>1379</v>
      </c>
      <c r="D1206" s="21" t="s">
        <v>77</v>
      </c>
      <c r="E1206" s="104"/>
      <c r="F1206" s="18">
        <v>353503</v>
      </c>
      <c r="G1206" s="19" t="s">
        <v>1394</v>
      </c>
      <c r="H1206" s="18">
        <v>28</v>
      </c>
      <c r="I1206" s="18" t="s">
        <v>1381</v>
      </c>
    </row>
    <row r="1207" spans="1:9" ht="15.75" customHeight="1" x14ac:dyDescent="0.2">
      <c r="A1207" s="19" t="s">
        <v>32</v>
      </c>
      <c r="B1207" s="19" t="s">
        <v>1361</v>
      </c>
      <c r="C1207" s="20" t="s">
        <v>1379</v>
      </c>
      <c r="D1207" s="21" t="s">
        <v>77</v>
      </c>
      <c r="E1207" s="105"/>
      <c r="F1207" s="18">
        <v>353504</v>
      </c>
      <c r="G1207" s="19" t="s">
        <v>1395</v>
      </c>
      <c r="H1207" s="18">
        <v>14</v>
      </c>
      <c r="I1207" s="18" t="s">
        <v>1381</v>
      </c>
    </row>
    <row r="1208" spans="1:9" ht="15.75" customHeight="1" x14ac:dyDescent="0.2">
      <c r="A1208" s="19" t="s">
        <v>32</v>
      </c>
      <c r="B1208" s="19" t="s">
        <v>1361</v>
      </c>
      <c r="C1208" s="20" t="s">
        <v>1379</v>
      </c>
      <c r="D1208" s="21" t="s">
        <v>77</v>
      </c>
      <c r="E1208" s="103" t="e" vm="259">
        <v>#VALUE!</v>
      </c>
      <c r="F1208" s="18">
        <v>353301</v>
      </c>
      <c r="G1208" s="19" t="s">
        <v>1396</v>
      </c>
      <c r="H1208" s="18">
        <v>50</v>
      </c>
      <c r="I1208" s="18" t="s">
        <v>1381</v>
      </c>
    </row>
    <row r="1209" spans="1:9" ht="15.75" customHeight="1" x14ac:dyDescent="0.2">
      <c r="A1209" s="19" t="s">
        <v>32</v>
      </c>
      <c r="B1209" s="19" t="s">
        <v>1361</v>
      </c>
      <c r="C1209" s="20" t="s">
        <v>1379</v>
      </c>
      <c r="D1209" s="21" t="s">
        <v>77</v>
      </c>
      <c r="E1209" s="104"/>
      <c r="F1209" s="18">
        <v>353302</v>
      </c>
      <c r="G1209" s="19" t="s">
        <v>1397</v>
      </c>
      <c r="H1209" s="18">
        <v>50</v>
      </c>
      <c r="I1209" s="18" t="s">
        <v>1381</v>
      </c>
    </row>
    <row r="1210" spans="1:9" ht="15.75" customHeight="1" x14ac:dyDescent="0.2">
      <c r="A1210" s="19" t="s">
        <v>32</v>
      </c>
      <c r="B1210" s="19" t="s">
        <v>1361</v>
      </c>
      <c r="C1210" s="20" t="s">
        <v>1379</v>
      </c>
      <c r="D1210" s="21" t="s">
        <v>77</v>
      </c>
      <c r="E1210" s="104"/>
      <c r="F1210" s="18">
        <v>353303</v>
      </c>
      <c r="G1210" s="19" t="s">
        <v>1398</v>
      </c>
      <c r="H1210" s="18">
        <v>20</v>
      </c>
      <c r="I1210" s="18" t="s">
        <v>1381</v>
      </c>
    </row>
    <row r="1211" spans="1:9" ht="15.75" customHeight="1" x14ac:dyDescent="0.2">
      <c r="A1211" s="19" t="s">
        <v>32</v>
      </c>
      <c r="B1211" s="19" t="s">
        <v>1361</v>
      </c>
      <c r="C1211" s="20" t="s">
        <v>1379</v>
      </c>
      <c r="D1211" s="21" t="s">
        <v>77</v>
      </c>
      <c r="E1211" s="105"/>
      <c r="F1211" s="18">
        <v>353304</v>
      </c>
      <c r="G1211" s="19" t="s">
        <v>1399</v>
      </c>
      <c r="H1211" s="18">
        <v>10</v>
      </c>
      <c r="I1211" s="18" t="s">
        <v>1381</v>
      </c>
    </row>
    <row r="1212" spans="1:9" ht="15.75" customHeight="1" x14ac:dyDescent="0.2">
      <c r="A1212" s="19" t="s">
        <v>32</v>
      </c>
      <c r="B1212" s="19" t="s">
        <v>1361</v>
      </c>
      <c r="C1212" s="20" t="s">
        <v>1379</v>
      </c>
      <c r="D1212" s="21" t="s">
        <v>77</v>
      </c>
      <c r="E1212" s="113" t="e" vm="260">
        <v>#VALUE!</v>
      </c>
      <c r="F1212" s="18">
        <v>53505</v>
      </c>
      <c r="G1212" s="19" t="s">
        <v>1400</v>
      </c>
      <c r="H1212" s="18">
        <v>1</v>
      </c>
      <c r="I1212" s="18" t="s">
        <v>146</v>
      </c>
    </row>
    <row r="1213" spans="1:9" ht="15.75" customHeight="1" x14ac:dyDescent="0.2">
      <c r="A1213" s="19" t="s">
        <v>32</v>
      </c>
      <c r="B1213" s="19" t="s">
        <v>1361</v>
      </c>
      <c r="C1213" s="20" t="s">
        <v>1379</v>
      </c>
      <c r="D1213" s="21" t="s">
        <v>77</v>
      </c>
      <c r="E1213" s="105"/>
      <c r="F1213" s="18">
        <v>53506</v>
      </c>
      <c r="G1213" s="19" t="s">
        <v>1401</v>
      </c>
      <c r="H1213" s="18">
        <v>1</v>
      </c>
      <c r="I1213" s="18" t="s">
        <v>146</v>
      </c>
    </row>
    <row r="1214" spans="1:9" ht="22.5" customHeight="1" x14ac:dyDescent="0.2">
      <c r="A1214" s="19" t="s">
        <v>32</v>
      </c>
      <c r="B1214" s="19" t="s">
        <v>1361</v>
      </c>
      <c r="C1214" s="20" t="s">
        <v>1402</v>
      </c>
      <c r="D1214" s="21" t="s">
        <v>77</v>
      </c>
      <c r="E1214" s="76" t="e" vm="261">
        <v>#VALUE!</v>
      </c>
      <c r="F1214" s="18">
        <v>53401</v>
      </c>
      <c r="G1214" s="19" t="s">
        <v>1403</v>
      </c>
      <c r="H1214" s="18">
        <v>10</v>
      </c>
      <c r="I1214" s="18" t="s">
        <v>146</v>
      </c>
    </row>
    <row r="1215" spans="1:9" ht="22.5" customHeight="1" x14ac:dyDescent="0.2">
      <c r="A1215" s="19" t="s">
        <v>32</v>
      </c>
      <c r="B1215" s="19" t="s">
        <v>1361</v>
      </c>
      <c r="C1215" s="20" t="s">
        <v>1402</v>
      </c>
      <c r="D1215" s="21" t="s">
        <v>77</v>
      </c>
      <c r="E1215" s="23" t="e" vm="262">
        <v>#VALUE!</v>
      </c>
      <c r="F1215" s="18">
        <v>53402</v>
      </c>
      <c r="G1215" s="19" t="s">
        <v>1404</v>
      </c>
      <c r="H1215" s="18">
        <v>10</v>
      </c>
      <c r="I1215" s="18" t="s">
        <v>146</v>
      </c>
    </row>
    <row r="1216" spans="1:9" ht="22.5" customHeight="1" x14ac:dyDescent="0.2">
      <c r="A1216" s="19" t="s">
        <v>32</v>
      </c>
      <c r="B1216" s="19" t="s">
        <v>1361</v>
      </c>
      <c r="C1216" s="20" t="s">
        <v>1402</v>
      </c>
      <c r="D1216" s="21" t="s">
        <v>77</v>
      </c>
      <c r="E1216" s="23" t="e" vm="263">
        <v>#VALUE!</v>
      </c>
      <c r="F1216" s="18">
        <v>53507</v>
      </c>
      <c r="G1216" s="19" t="s">
        <v>1405</v>
      </c>
      <c r="H1216" s="18">
        <v>10</v>
      </c>
      <c r="I1216" s="18" t="s">
        <v>146</v>
      </c>
    </row>
    <row r="1217" spans="1:9" ht="22.5" customHeight="1" x14ac:dyDescent="0.2">
      <c r="A1217" s="19" t="s">
        <v>32</v>
      </c>
      <c r="B1217" s="19" t="s">
        <v>1361</v>
      </c>
      <c r="C1217" s="20" t="s">
        <v>1402</v>
      </c>
      <c r="D1217" s="21" t="s">
        <v>77</v>
      </c>
      <c r="E1217" s="23" t="e" vm="264">
        <v>#VALUE!</v>
      </c>
      <c r="F1217" s="18">
        <v>53508</v>
      </c>
      <c r="G1217" s="19" t="s">
        <v>1406</v>
      </c>
      <c r="H1217" s="18">
        <v>10</v>
      </c>
      <c r="I1217" s="18" t="s">
        <v>146</v>
      </c>
    </row>
    <row r="1218" spans="1:9" ht="15.75" customHeight="1" x14ac:dyDescent="0.2">
      <c r="A1218" s="19" t="s">
        <v>32</v>
      </c>
      <c r="B1218" s="19" t="s">
        <v>1407</v>
      </c>
      <c r="C1218" s="19" t="s">
        <v>1408</v>
      </c>
      <c r="D1218" s="18" t="s">
        <v>46</v>
      </c>
      <c r="E1218" s="103" t="e" vm="265">
        <v>#VALUE!</v>
      </c>
      <c r="F1218" s="18">
        <v>15441</v>
      </c>
      <c r="G1218" s="19" t="s">
        <v>1409</v>
      </c>
      <c r="H1218" s="18">
        <v>25</v>
      </c>
      <c r="I1218" s="18" t="s">
        <v>48</v>
      </c>
    </row>
    <row r="1219" spans="1:9" ht="15.75" customHeight="1" x14ac:dyDescent="0.2">
      <c r="A1219" s="19" t="s">
        <v>32</v>
      </c>
      <c r="B1219" s="19" t="s">
        <v>1407</v>
      </c>
      <c r="C1219" s="19" t="s">
        <v>1408</v>
      </c>
      <c r="D1219" s="18" t="s">
        <v>46</v>
      </c>
      <c r="E1219" s="121"/>
      <c r="F1219" s="18">
        <v>15442</v>
      </c>
      <c r="G1219" s="19" t="s">
        <v>1410</v>
      </c>
      <c r="H1219" s="18">
        <v>20</v>
      </c>
      <c r="I1219" s="18" t="s">
        <v>48</v>
      </c>
    </row>
    <row r="1220" spans="1:9" ht="15.75" customHeight="1" x14ac:dyDescent="0.2">
      <c r="A1220" s="19" t="s">
        <v>32</v>
      </c>
      <c r="B1220" s="19" t="s">
        <v>1407</v>
      </c>
      <c r="C1220" s="19" t="s">
        <v>1408</v>
      </c>
      <c r="D1220" s="18" t="s">
        <v>46</v>
      </c>
      <c r="E1220" s="122"/>
      <c r="F1220" s="18">
        <v>15443</v>
      </c>
      <c r="G1220" s="19" t="s">
        <v>1411</v>
      </c>
      <c r="H1220" s="18">
        <v>10</v>
      </c>
      <c r="I1220" s="18" t="s">
        <v>48</v>
      </c>
    </row>
    <row r="1221" spans="1:9" ht="15.75" customHeight="1" x14ac:dyDescent="0.2">
      <c r="A1221" s="19" t="s">
        <v>32</v>
      </c>
      <c r="B1221" s="19" t="s">
        <v>1407</v>
      </c>
      <c r="C1221" s="19" t="s">
        <v>1408</v>
      </c>
      <c r="D1221" s="18" t="s">
        <v>46</v>
      </c>
      <c r="E1221" s="103" t="e" vm="266">
        <v>#VALUE!</v>
      </c>
      <c r="F1221" s="18">
        <v>15451</v>
      </c>
      <c r="G1221" s="19" t="s">
        <v>1412</v>
      </c>
      <c r="H1221" s="18">
        <v>25</v>
      </c>
      <c r="I1221" s="18" t="s">
        <v>48</v>
      </c>
    </row>
    <row r="1222" spans="1:9" ht="15.75" customHeight="1" x14ac:dyDescent="0.2">
      <c r="A1222" s="19" t="s">
        <v>32</v>
      </c>
      <c r="B1222" s="19" t="s">
        <v>1407</v>
      </c>
      <c r="C1222" s="19" t="s">
        <v>1408</v>
      </c>
      <c r="D1222" s="18" t="s">
        <v>46</v>
      </c>
      <c r="E1222" s="104"/>
      <c r="F1222" s="18">
        <v>15452</v>
      </c>
      <c r="G1222" s="19" t="s">
        <v>1413</v>
      </c>
      <c r="H1222" s="18">
        <v>20</v>
      </c>
      <c r="I1222" s="18" t="s">
        <v>48</v>
      </c>
    </row>
    <row r="1223" spans="1:9" ht="15.75" customHeight="1" x14ac:dyDescent="0.2">
      <c r="A1223" s="19" t="s">
        <v>32</v>
      </c>
      <c r="B1223" s="19" t="s">
        <v>1407</v>
      </c>
      <c r="C1223" s="19" t="s">
        <v>1408</v>
      </c>
      <c r="D1223" s="18" t="s">
        <v>46</v>
      </c>
      <c r="E1223" s="105"/>
      <c r="F1223" s="18">
        <v>15453</v>
      </c>
      <c r="G1223" s="19" t="s">
        <v>1414</v>
      </c>
      <c r="H1223" s="18">
        <v>10</v>
      </c>
      <c r="I1223" s="18" t="s">
        <v>48</v>
      </c>
    </row>
    <row r="1224" spans="1:9" ht="15.75" customHeight="1" x14ac:dyDescent="0.2">
      <c r="A1224" s="19" t="s">
        <v>32</v>
      </c>
      <c r="B1224" s="19" t="s">
        <v>1407</v>
      </c>
      <c r="C1224" s="19" t="s">
        <v>1415</v>
      </c>
      <c r="D1224" s="18" t="s">
        <v>77</v>
      </c>
      <c r="E1224" s="103" t="e" vm="267">
        <v>#VALUE!</v>
      </c>
      <c r="F1224" s="18">
        <v>54002</v>
      </c>
      <c r="G1224" s="19" t="s">
        <v>1416</v>
      </c>
      <c r="H1224" s="18">
        <v>30</v>
      </c>
      <c r="I1224" s="18" t="s">
        <v>48</v>
      </c>
    </row>
    <row r="1225" spans="1:9" ht="15.75" customHeight="1" x14ac:dyDescent="0.2">
      <c r="A1225" s="19" t="s">
        <v>32</v>
      </c>
      <c r="B1225" s="19" t="s">
        <v>1407</v>
      </c>
      <c r="C1225" s="19" t="s">
        <v>1415</v>
      </c>
      <c r="D1225" s="18" t="s">
        <v>77</v>
      </c>
      <c r="E1225" s="104"/>
      <c r="F1225" s="18">
        <v>54003</v>
      </c>
      <c r="G1225" s="19" t="s">
        <v>1417</v>
      </c>
      <c r="H1225" s="18">
        <v>15</v>
      </c>
      <c r="I1225" s="18" t="s">
        <v>48</v>
      </c>
    </row>
    <row r="1226" spans="1:9" ht="15.75" customHeight="1" x14ac:dyDescent="0.2">
      <c r="A1226" s="19" t="s">
        <v>32</v>
      </c>
      <c r="B1226" s="19" t="s">
        <v>1407</v>
      </c>
      <c r="C1226" s="19" t="s">
        <v>1415</v>
      </c>
      <c r="D1226" s="18" t="s">
        <v>77</v>
      </c>
      <c r="E1226" s="105"/>
      <c r="F1226" s="18">
        <v>54004</v>
      </c>
      <c r="G1226" s="19" t="s">
        <v>1418</v>
      </c>
      <c r="H1226" s="18">
        <v>5</v>
      </c>
      <c r="I1226" s="18" t="s">
        <v>48</v>
      </c>
    </row>
    <row r="1227" spans="1:9" ht="15.75" customHeight="1" x14ac:dyDescent="0.2">
      <c r="A1227" s="19" t="s">
        <v>32</v>
      </c>
      <c r="B1227" s="19" t="s">
        <v>1407</v>
      </c>
      <c r="C1227" s="19" t="s">
        <v>1415</v>
      </c>
      <c r="D1227" s="18" t="s">
        <v>77</v>
      </c>
      <c r="E1227" s="103" t="e" vm="268">
        <v>#VALUE!</v>
      </c>
      <c r="F1227" s="18">
        <v>54102</v>
      </c>
      <c r="G1227" s="19" t="s">
        <v>1419</v>
      </c>
      <c r="H1227" s="18">
        <v>20</v>
      </c>
      <c r="I1227" s="18" t="s">
        <v>48</v>
      </c>
    </row>
    <row r="1228" spans="1:9" ht="15.75" customHeight="1" x14ac:dyDescent="0.2">
      <c r="A1228" s="19" t="s">
        <v>32</v>
      </c>
      <c r="B1228" s="19" t="s">
        <v>1407</v>
      </c>
      <c r="C1228" s="19" t="s">
        <v>1415</v>
      </c>
      <c r="D1228" s="18" t="s">
        <v>77</v>
      </c>
      <c r="E1228" s="104"/>
      <c r="F1228" s="18">
        <v>54103</v>
      </c>
      <c r="G1228" s="19" t="s">
        <v>1420</v>
      </c>
      <c r="H1228" s="18">
        <v>20</v>
      </c>
      <c r="I1228" s="18" t="s">
        <v>48</v>
      </c>
    </row>
    <row r="1229" spans="1:9" ht="15.75" customHeight="1" x14ac:dyDescent="0.2">
      <c r="A1229" s="19" t="s">
        <v>32</v>
      </c>
      <c r="B1229" s="19" t="s">
        <v>1407</v>
      </c>
      <c r="C1229" s="19" t="s">
        <v>1415</v>
      </c>
      <c r="D1229" s="18" t="s">
        <v>77</v>
      </c>
      <c r="E1229" s="105"/>
      <c r="F1229" s="18">
        <v>54104</v>
      </c>
      <c r="G1229" s="19" t="s">
        <v>1421</v>
      </c>
      <c r="H1229" s="18">
        <v>20</v>
      </c>
      <c r="I1229" s="18" t="s">
        <v>48</v>
      </c>
    </row>
    <row r="1230" spans="1:9" ht="15.75" customHeight="1" x14ac:dyDescent="0.2">
      <c r="A1230" s="19" t="s">
        <v>32</v>
      </c>
      <c r="B1230" s="19" t="s">
        <v>1407</v>
      </c>
      <c r="C1230" s="19" t="s">
        <v>1415</v>
      </c>
      <c r="D1230" s="18" t="s">
        <v>77</v>
      </c>
      <c r="E1230" s="100" t="e" vm="269">
        <v>#VALUE!</v>
      </c>
      <c r="F1230" s="18">
        <v>54202</v>
      </c>
      <c r="G1230" s="19" t="s">
        <v>1422</v>
      </c>
      <c r="H1230" s="18">
        <v>20</v>
      </c>
      <c r="I1230" s="18" t="s">
        <v>48</v>
      </c>
    </row>
    <row r="1231" spans="1:9" ht="15.75" customHeight="1" x14ac:dyDescent="0.2">
      <c r="A1231" s="19" t="s">
        <v>32</v>
      </c>
      <c r="B1231" s="19" t="s">
        <v>1407</v>
      </c>
      <c r="C1231" s="19" t="s">
        <v>1415</v>
      </c>
      <c r="D1231" s="18" t="s">
        <v>77</v>
      </c>
      <c r="E1231" s="101"/>
      <c r="F1231" s="18">
        <v>54203</v>
      </c>
      <c r="G1231" s="19" t="s">
        <v>1423</v>
      </c>
      <c r="H1231" s="18">
        <v>20</v>
      </c>
      <c r="I1231" s="18" t="s">
        <v>48</v>
      </c>
    </row>
    <row r="1232" spans="1:9" ht="15.75" customHeight="1" x14ac:dyDescent="0.2">
      <c r="A1232" s="19" t="s">
        <v>32</v>
      </c>
      <c r="B1232" s="19" t="s">
        <v>1407</v>
      </c>
      <c r="C1232" s="19" t="s">
        <v>1415</v>
      </c>
      <c r="D1232" s="18" t="s">
        <v>77</v>
      </c>
      <c r="E1232" s="102"/>
      <c r="F1232" s="18">
        <v>54204</v>
      </c>
      <c r="G1232" s="19" t="s">
        <v>1424</v>
      </c>
      <c r="H1232" s="18">
        <v>20</v>
      </c>
      <c r="I1232" s="18" t="s">
        <v>48</v>
      </c>
    </row>
    <row r="1233" spans="1:9" ht="15.75" customHeight="1" x14ac:dyDescent="0.2">
      <c r="A1233" s="19" t="s">
        <v>32</v>
      </c>
      <c r="B1233" s="19" t="s">
        <v>1407</v>
      </c>
      <c r="C1233" s="19" t="s">
        <v>1415</v>
      </c>
      <c r="D1233" s="18" t="s">
        <v>903</v>
      </c>
      <c r="E1233" s="103" t="e" vm="270">
        <v>#VALUE!</v>
      </c>
      <c r="F1233" s="18">
        <v>54302</v>
      </c>
      <c r="G1233" s="19" t="s">
        <v>1425</v>
      </c>
      <c r="H1233" s="18">
        <v>50</v>
      </c>
      <c r="I1233" s="18" t="s">
        <v>48</v>
      </c>
    </row>
    <row r="1234" spans="1:9" ht="15.75" customHeight="1" x14ac:dyDescent="0.2">
      <c r="A1234" s="19" t="s">
        <v>32</v>
      </c>
      <c r="B1234" s="19" t="s">
        <v>1407</v>
      </c>
      <c r="C1234" s="19" t="s">
        <v>1415</v>
      </c>
      <c r="D1234" s="18" t="s">
        <v>903</v>
      </c>
      <c r="E1234" s="104"/>
      <c r="F1234" s="18">
        <v>54303</v>
      </c>
      <c r="G1234" s="19" t="s">
        <v>1426</v>
      </c>
      <c r="H1234" s="18">
        <v>50</v>
      </c>
      <c r="I1234" s="18" t="s">
        <v>48</v>
      </c>
    </row>
    <row r="1235" spans="1:9" ht="15.75" customHeight="1" x14ac:dyDescent="0.2">
      <c r="A1235" s="19" t="s">
        <v>32</v>
      </c>
      <c r="B1235" s="19" t="s">
        <v>1407</v>
      </c>
      <c r="C1235" s="19" t="s">
        <v>1415</v>
      </c>
      <c r="D1235" s="18" t="s">
        <v>903</v>
      </c>
      <c r="E1235" s="105"/>
      <c r="F1235" s="18">
        <v>54304</v>
      </c>
      <c r="G1235" s="19" t="s">
        <v>1427</v>
      </c>
      <c r="H1235" s="18">
        <v>50</v>
      </c>
      <c r="I1235" s="18" t="s">
        <v>48</v>
      </c>
    </row>
    <row r="1236" spans="1:9" ht="15.75" customHeight="1" x14ac:dyDescent="0.2">
      <c r="A1236" s="40"/>
      <c r="B1236" s="41"/>
      <c r="C1236" s="41"/>
      <c r="D1236" s="42"/>
      <c r="E1236" s="80"/>
      <c r="F1236" s="42"/>
      <c r="G1236" s="42"/>
      <c r="H1236" s="41"/>
      <c r="I1236" s="42"/>
    </row>
  </sheetData>
  <mergeCells count="190">
    <mergeCell ref="E1111:E1117"/>
    <mergeCell ref="E377:E380"/>
    <mergeCell ref="E323:E324"/>
    <mergeCell ref="E272:E273"/>
    <mergeCell ref="E792:E793"/>
    <mergeCell ref="E1227:E1229"/>
    <mergeCell ref="E288:E290"/>
    <mergeCell ref="E1028:E1029"/>
    <mergeCell ref="E708:E710"/>
    <mergeCell ref="E542:E552"/>
    <mergeCell ref="E1145:E1151"/>
    <mergeCell ref="E1081:E1086"/>
    <mergeCell ref="E1077:E1080"/>
    <mergeCell ref="E567:E569"/>
    <mergeCell ref="E1002:E1003"/>
    <mergeCell ref="E1197:E1200"/>
    <mergeCell ref="E1061:E1071"/>
    <mergeCell ref="E1218:E1220"/>
    <mergeCell ref="E1138:E1139"/>
    <mergeCell ref="E1193:E1196"/>
    <mergeCell ref="E1190:E1192"/>
    <mergeCell ref="E1142:E1144"/>
    <mergeCell ref="E30:E38"/>
    <mergeCell ref="E1022:E1024"/>
    <mergeCell ref="E267:E269"/>
    <mergeCell ref="E82:E109"/>
    <mergeCell ref="E1224:E1226"/>
    <mergeCell ref="E696:E698"/>
    <mergeCell ref="E1049:E1051"/>
    <mergeCell ref="E705:E707"/>
    <mergeCell ref="E366:E367"/>
    <mergeCell ref="E304:E305"/>
    <mergeCell ref="E396:E404"/>
    <mergeCell ref="E256:E257"/>
    <mergeCell ref="E537:E541"/>
    <mergeCell ref="E757:E760"/>
    <mergeCell ref="E470:E490"/>
    <mergeCell ref="E467:E468"/>
    <mergeCell ref="E68:E70"/>
    <mergeCell ref="E1201:E1203"/>
    <mergeCell ref="E1208:E1211"/>
    <mergeCell ref="E884:E889"/>
    <mergeCell ref="E998:E1001"/>
    <mergeCell ref="E949:E965"/>
    <mergeCell ref="E966:E985"/>
    <mergeCell ref="E444:E445"/>
    <mergeCell ref="E258:E263"/>
    <mergeCell ref="E1018:E1020"/>
    <mergeCell ref="E210:E215"/>
    <mergeCell ref="E780:E781"/>
    <mergeCell ref="E349:E352"/>
    <mergeCell ref="E603:E613"/>
    <mergeCell ref="E270:E271"/>
    <mergeCell ref="E790:E791"/>
    <mergeCell ref="E1058:E1060"/>
    <mergeCell ref="E368:E371"/>
    <mergeCell ref="E570:E578"/>
    <mergeCell ref="E1052:E1054"/>
    <mergeCell ref="E428:E429"/>
    <mergeCell ref="E507:E515"/>
    <mergeCell ref="E1015:E1017"/>
    <mergeCell ref="E1008:E1011"/>
    <mergeCell ref="E831:E843"/>
    <mergeCell ref="E254:E255"/>
    <mergeCell ref="E264:E266"/>
    <mergeCell ref="E282:E284"/>
    <mergeCell ref="E800:E801"/>
    <mergeCell ref="E993:E997"/>
    <mergeCell ref="E778:E779"/>
    <mergeCell ref="E803:E804"/>
    <mergeCell ref="E170:E197"/>
    <mergeCell ref="E744:E746"/>
    <mergeCell ref="E3:E11"/>
    <mergeCell ref="E1140:E1141"/>
    <mergeCell ref="E844:E862"/>
    <mergeCell ref="E1042:E1045"/>
    <mergeCell ref="E430:E434"/>
    <mergeCell ref="E553:E563"/>
    <mergeCell ref="E943:E948"/>
    <mergeCell ref="E1118:E1127"/>
    <mergeCell ref="E71:E72"/>
    <mergeCell ref="E808:E811"/>
    <mergeCell ref="E325:E336"/>
    <mergeCell ref="E522:E527"/>
    <mergeCell ref="E776:E777"/>
    <mergeCell ref="E516:E521"/>
    <mergeCell ref="E345:E348"/>
    <mergeCell ref="E534:E536"/>
    <mergeCell ref="E579:E587"/>
    <mergeCell ref="E1030:E1041"/>
    <mergeCell ref="E1046:E1048"/>
    <mergeCell ref="E446:E450"/>
    <mergeCell ref="E291:E293"/>
    <mergeCell ref="E62:E64"/>
    <mergeCell ref="B1:I1"/>
    <mergeCell ref="E1093:E1095"/>
    <mergeCell ref="E737:E738"/>
    <mergeCell ref="E491:E500"/>
    <mergeCell ref="E12:E20"/>
    <mergeCell ref="E21:E29"/>
    <mergeCell ref="E55:E61"/>
    <mergeCell ref="E825:E830"/>
    <mergeCell ref="E1128:E1137"/>
    <mergeCell ref="E441:E443"/>
    <mergeCell ref="E614:E643"/>
    <mergeCell ref="E644:E655"/>
    <mergeCell ref="E48:E54"/>
    <mergeCell ref="E600:E602"/>
    <mergeCell ref="E39:E47"/>
    <mergeCell ref="E65:E67"/>
    <mergeCell ref="E73:E81"/>
    <mergeCell ref="E1025:E1027"/>
    <mergeCell ref="E423:E427"/>
    <mergeCell ref="E156:E162"/>
    <mergeCell ref="E1087:E1092"/>
    <mergeCell ref="E279:E281"/>
    <mergeCell ref="E788:E789"/>
    <mergeCell ref="E357:E360"/>
    <mergeCell ref="E1233:E1235"/>
    <mergeCell ref="E772:E773"/>
    <mergeCell ref="E1096:E1099"/>
    <mergeCell ref="E341:E344"/>
    <mergeCell ref="E198:E203"/>
    <mergeCell ref="E764:E767"/>
    <mergeCell ref="E768:E769"/>
    <mergeCell ref="E337:E340"/>
    <mergeCell ref="E774:E775"/>
    <mergeCell ref="E923:E942"/>
    <mergeCell ref="E1152:E1159"/>
    <mergeCell ref="E1204:E1207"/>
    <mergeCell ref="E761:E762"/>
    <mergeCell ref="E457:E461"/>
    <mergeCell ref="E1212:E1213"/>
    <mergeCell ref="E528:E533"/>
    <mergeCell ref="E699:E704"/>
    <mergeCell ref="E276:E278"/>
    <mergeCell ref="E462:E466"/>
    <mergeCell ref="E421:E422"/>
    <mergeCell ref="E747:E751"/>
    <mergeCell ref="E294:E299"/>
    <mergeCell ref="E384:E395"/>
    <mergeCell ref="E890:E895"/>
    <mergeCell ref="E119:E145"/>
    <mergeCell ref="E204:E209"/>
    <mergeCell ref="E216:E229"/>
    <mergeCell ref="E896:E907"/>
    <mergeCell ref="E805:E806"/>
    <mergeCell ref="E230:E244"/>
    <mergeCell ref="E405:E409"/>
    <mergeCell ref="E1100:E1110"/>
    <mergeCell ref="E110:E118"/>
    <mergeCell ref="E798:E799"/>
    <mergeCell ref="E285:E287"/>
    <mergeCell ref="E794:E795"/>
    <mergeCell ref="E1055:E1057"/>
    <mergeCell ref="E657:E687"/>
    <mergeCell ref="E812:E813"/>
    <mergeCell ref="E307:E315"/>
    <mergeCell ref="E361:E365"/>
    <mergeCell ref="E245:E253"/>
    <mergeCell ref="E353:E356"/>
    <mergeCell ref="E274:E275"/>
    <mergeCell ref="E146:E155"/>
    <mergeCell ref="E163:E169"/>
    <mergeCell ref="E718:E719"/>
    <mergeCell ref="E770:E771"/>
    <mergeCell ref="E1230:E1232"/>
    <mergeCell ref="E415:E419"/>
    <mergeCell ref="E372:E376"/>
    <mergeCell ref="E688:E692"/>
    <mergeCell ref="E796:E797"/>
    <mergeCell ref="E1178:E1189"/>
    <mergeCell ref="E1160:E1161"/>
    <mergeCell ref="E588:E599"/>
    <mergeCell ref="E501:E506"/>
    <mergeCell ref="E986:E992"/>
    <mergeCell ref="E410:E414"/>
    <mergeCell ref="E782:E783"/>
    <mergeCell ref="E1221:E1223"/>
    <mergeCell ref="E435:E440"/>
    <mergeCell ref="E1072:E1076"/>
    <mergeCell ref="E564:E566"/>
    <mergeCell ref="E784:E785"/>
    <mergeCell ref="E1004:E1007"/>
    <mergeCell ref="E752:E756"/>
    <mergeCell ref="E786:E787"/>
    <mergeCell ref="E908:E922"/>
    <mergeCell ref="E693:E695"/>
    <mergeCell ref="E863:E883"/>
    <mergeCell ref="E451:E456"/>
  </mergeCells>
  <hyperlinks>
    <hyperlink ref="A1" location="'Menú por Categoría'!C14" display="Volver al menú principal" xr:uid="{00000000-0004-0000-02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J61"/>
  <sheetViews>
    <sheetView showGridLines="0" zoomScale="60" zoomScaleNormal="60" workbookViewId="0">
      <pane ySplit="2" topLeftCell="A3" activePane="bottomLeft" state="frozen"/>
      <selection pane="bottomLeft" activeCell="J27" sqref="J27"/>
    </sheetView>
  </sheetViews>
  <sheetFormatPr baseColWidth="10" defaultColWidth="10.83203125" defaultRowHeight="15.75" customHeight="1" x14ac:dyDescent="0.2"/>
  <cols>
    <col min="1" max="1" width="22.5" style="10" customWidth="1"/>
    <col min="2" max="2" width="30.66406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1" width="10.83203125" style="10" customWidth="1"/>
    <col min="12" max="16384" width="10.83203125" style="10"/>
  </cols>
  <sheetData>
    <row r="1" spans="1:10" ht="50.25" customHeight="1" x14ac:dyDescent="0.2">
      <c r="A1" s="4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  <c r="J1" s="44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15.75" customHeight="1" x14ac:dyDescent="0.2">
      <c r="A3" s="19" t="s">
        <v>32</v>
      </c>
      <c r="B3" s="19" t="s">
        <v>1361</v>
      </c>
      <c r="C3" s="19" t="s">
        <v>1362</v>
      </c>
      <c r="D3" s="21" t="s">
        <v>46</v>
      </c>
      <c r="E3" s="103" t="e" vm="253">
        <v>#VALUE!</v>
      </c>
      <c r="F3" s="18">
        <v>15301</v>
      </c>
      <c r="G3" s="19" t="s">
        <v>1363</v>
      </c>
      <c r="H3" s="18">
        <v>50</v>
      </c>
      <c r="I3" s="18" t="s">
        <v>48</v>
      </c>
      <c r="J3" s="56"/>
    </row>
    <row r="4" spans="1:10" ht="15.75" customHeight="1" x14ac:dyDescent="0.2">
      <c r="A4" s="19" t="s">
        <v>32</v>
      </c>
      <c r="B4" s="19" t="s">
        <v>1361</v>
      </c>
      <c r="C4" s="19" t="s">
        <v>1362</v>
      </c>
      <c r="D4" s="21" t="s">
        <v>46</v>
      </c>
      <c r="E4" s="104"/>
      <c r="F4" s="18">
        <v>15302</v>
      </c>
      <c r="G4" s="19" t="s">
        <v>1364</v>
      </c>
      <c r="H4" s="18">
        <v>20</v>
      </c>
      <c r="I4" s="18" t="s">
        <v>48</v>
      </c>
      <c r="J4" s="56"/>
    </row>
    <row r="5" spans="1:10" ht="15.75" customHeight="1" x14ac:dyDescent="0.2">
      <c r="A5" s="19" t="s">
        <v>32</v>
      </c>
      <c r="B5" s="19" t="s">
        <v>1361</v>
      </c>
      <c r="C5" s="19" t="s">
        <v>1362</v>
      </c>
      <c r="D5" s="21" t="s">
        <v>46</v>
      </c>
      <c r="E5" s="104"/>
      <c r="F5" s="18">
        <v>15310</v>
      </c>
      <c r="G5" s="19" t="s">
        <v>1365</v>
      </c>
      <c r="H5" s="18">
        <v>20</v>
      </c>
      <c r="I5" s="18" t="s">
        <v>48</v>
      </c>
      <c r="J5" s="56"/>
    </row>
    <row r="6" spans="1:10" ht="15.75" customHeight="1" x14ac:dyDescent="0.2">
      <c r="A6" s="19" t="s">
        <v>32</v>
      </c>
      <c r="B6" s="19" t="s">
        <v>1361</v>
      </c>
      <c r="C6" s="19" t="s">
        <v>1362</v>
      </c>
      <c r="D6" s="21" t="s">
        <v>46</v>
      </c>
      <c r="E6" s="104"/>
      <c r="F6" s="18">
        <v>15311</v>
      </c>
      <c r="G6" s="19" t="s">
        <v>1366</v>
      </c>
      <c r="H6" s="18">
        <v>10</v>
      </c>
      <c r="I6" s="18" t="s">
        <v>168</v>
      </c>
      <c r="J6" s="56"/>
    </row>
    <row r="7" spans="1:10" ht="15.75" customHeight="1" x14ac:dyDescent="0.2">
      <c r="A7" s="19" t="s">
        <v>32</v>
      </c>
      <c r="B7" s="19" t="s">
        <v>1361</v>
      </c>
      <c r="C7" s="19" t="s">
        <v>1362</v>
      </c>
      <c r="D7" s="21" t="s">
        <v>46</v>
      </c>
      <c r="E7" s="104"/>
      <c r="F7" s="18">
        <v>15320</v>
      </c>
      <c r="G7" s="19" t="s">
        <v>1367</v>
      </c>
      <c r="H7" s="18">
        <v>1</v>
      </c>
      <c r="I7" s="18" t="s">
        <v>168</v>
      </c>
      <c r="J7" s="56"/>
    </row>
    <row r="8" spans="1:10" ht="15.75" customHeight="1" x14ac:dyDescent="0.2">
      <c r="A8" s="19" t="s">
        <v>32</v>
      </c>
      <c r="B8" s="19" t="s">
        <v>1361</v>
      </c>
      <c r="C8" s="19" t="s">
        <v>1362</v>
      </c>
      <c r="D8" s="21" t="s">
        <v>46</v>
      </c>
      <c r="E8" s="104"/>
      <c r="F8" s="18">
        <v>15321</v>
      </c>
      <c r="G8" s="19" t="s">
        <v>1368</v>
      </c>
      <c r="H8" s="18">
        <v>1</v>
      </c>
      <c r="I8" s="18" t="s">
        <v>168</v>
      </c>
      <c r="J8" s="56"/>
    </row>
    <row r="9" spans="1:10" ht="15.75" customHeight="1" x14ac:dyDescent="0.2">
      <c r="A9" s="19" t="s">
        <v>32</v>
      </c>
      <c r="B9" s="19" t="s">
        <v>1361</v>
      </c>
      <c r="C9" s="19" t="s">
        <v>1362</v>
      </c>
      <c r="D9" s="21" t="s">
        <v>46</v>
      </c>
      <c r="E9" s="104"/>
      <c r="F9" s="18">
        <v>15340</v>
      </c>
      <c r="G9" s="19" t="s">
        <v>1369</v>
      </c>
      <c r="H9" s="18">
        <v>25</v>
      </c>
      <c r="I9" s="18" t="s">
        <v>48</v>
      </c>
      <c r="J9" s="56"/>
    </row>
    <row r="10" spans="1:10" ht="15.75" customHeight="1" x14ac:dyDescent="0.2">
      <c r="A10" s="19" t="s">
        <v>32</v>
      </c>
      <c r="B10" s="19" t="s">
        <v>1361</v>
      </c>
      <c r="C10" s="19" t="s">
        <v>1362</v>
      </c>
      <c r="D10" s="21" t="s">
        <v>46</v>
      </c>
      <c r="E10" s="104"/>
      <c r="F10" s="18">
        <v>15341</v>
      </c>
      <c r="G10" s="19" t="s">
        <v>1370</v>
      </c>
      <c r="H10" s="18">
        <v>20</v>
      </c>
      <c r="I10" s="18" t="s">
        <v>48</v>
      </c>
      <c r="J10" s="56"/>
    </row>
    <row r="11" spans="1:10" ht="15.75" customHeight="1" x14ac:dyDescent="0.2">
      <c r="A11" s="19" t="s">
        <v>32</v>
      </c>
      <c r="B11" s="19" t="s">
        <v>1361</v>
      </c>
      <c r="C11" s="19" t="s">
        <v>1362</v>
      </c>
      <c r="D11" s="21" t="s">
        <v>46</v>
      </c>
      <c r="E11" s="104"/>
      <c r="F11" s="18">
        <v>15350</v>
      </c>
      <c r="G11" s="19" t="s">
        <v>1371</v>
      </c>
      <c r="H11" s="18">
        <v>20</v>
      </c>
      <c r="I11" s="18" t="s">
        <v>48</v>
      </c>
      <c r="J11" s="56"/>
    </row>
    <row r="12" spans="1:10" ht="15.75" customHeight="1" x14ac:dyDescent="0.2">
      <c r="A12" s="19" t="s">
        <v>32</v>
      </c>
      <c r="B12" s="19" t="s">
        <v>1361</v>
      </c>
      <c r="C12" s="19" t="s">
        <v>1362</v>
      </c>
      <c r="D12" s="21" t="s">
        <v>46</v>
      </c>
      <c r="E12" s="104"/>
      <c r="F12" s="18">
        <v>15351</v>
      </c>
      <c r="G12" s="19" t="s">
        <v>1372</v>
      </c>
      <c r="H12" s="18">
        <v>10</v>
      </c>
      <c r="I12" s="18" t="s">
        <v>48</v>
      </c>
      <c r="J12" s="56"/>
    </row>
    <row r="13" spans="1:10" ht="15.75" customHeight="1" x14ac:dyDescent="0.2">
      <c r="A13" s="19" t="s">
        <v>32</v>
      </c>
      <c r="B13" s="19" t="s">
        <v>1361</v>
      </c>
      <c r="C13" s="19" t="s">
        <v>1362</v>
      </c>
      <c r="D13" s="21" t="s">
        <v>46</v>
      </c>
      <c r="E13" s="104"/>
      <c r="F13" s="18">
        <v>15360</v>
      </c>
      <c r="G13" s="19" t="s">
        <v>1373</v>
      </c>
      <c r="H13" s="18">
        <v>1</v>
      </c>
      <c r="I13" s="18" t="s">
        <v>168</v>
      </c>
      <c r="J13" s="56"/>
    </row>
    <row r="14" spans="1:10" ht="15.75" customHeight="1" x14ac:dyDescent="0.2">
      <c r="A14" s="19" t="s">
        <v>32</v>
      </c>
      <c r="B14" s="19" t="s">
        <v>1361</v>
      </c>
      <c r="C14" s="19" t="s">
        <v>1362</v>
      </c>
      <c r="D14" s="21" t="s">
        <v>46</v>
      </c>
      <c r="E14" s="104"/>
      <c r="F14" s="18">
        <v>15361</v>
      </c>
      <c r="G14" s="19" t="s">
        <v>1374</v>
      </c>
      <c r="H14" s="18">
        <v>1</v>
      </c>
      <c r="I14" s="18" t="s">
        <v>168</v>
      </c>
      <c r="J14" s="56"/>
    </row>
    <row r="15" spans="1:10" ht="15.75" customHeight="1" x14ac:dyDescent="0.2">
      <c r="A15" s="19" t="s">
        <v>32</v>
      </c>
      <c r="B15" s="19" t="s">
        <v>1361</v>
      </c>
      <c r="C15" s="19" t="s">
        <v>1375</v>
      </c>
      <c r="D15" s="21" t="s">
        <v>46</v>
      </c>
      <c r="E15" s="113" t="e" vm="254">
        <v>#VALUE!</v>
      </c>
      <c r="F15" s="18">
        <v>15390</v>
      </c>
      <c r="G15" s="19" t="s">
        <v>1376</v>
      </c>
      <c r="H15" s="18">
        <v>1</v>
      </c>
      <c r="I15" s="18" t="s">
        <v>146</v>
      </c>
      <c r="J15" s="56"/>
    </row>
    <row r="16" spans="1:10" ht="15.75" customHeight="1" x14ac:dyDescent="0.2">
      <c r="A16" s="19" t="s">
        <v>32</v>
      </c>
      <c r="B16" s="19" t="s">
        <v>1361</v>
      </c>
      <c r="C16" s="19" t="s">
        <v>1375</v>
      </c>
      <c r="D16" s="21" t="s">
        <v>46</v>
      </c>
      <c r="E16" s="104"/>
      <c r="F16" s="18">
        <v>15391</v>
      </c>
      <c r="G16" s="19" t="s">
        <v>1377</v>
      </c>
      <c r="H16" s="18">
        <v>1</v>
      </c>
      <c r="I16" s="18" t="s">
        <v>146</v>
      </c>
      <c r="J16" s="56"/>
    </row>
    <row r="17" spans="1:10" ht="15.75" customHeight="1" x14ac:dyDescent="0.2">
      <c r="A17" s="19" t="s">
        <v>32</v>
      </c>
      <c r="B17" s="19" t="s">
        <v>1361</v>
      </c>
      <c r="C17" s="19" t="s">
        <v>1375</v>
      </c>
      <c r="D17" s="21" t="s">
        <v>46</v>
      </c>
      <c r="E17" s="105"/>
      <c r="F17" s="18">
        <v>15392</v>
      </c>
      <c r="G17" s="19" t="s">
        <v>1378</v>
      </c>
      <c r="H17" s="18">
        <v>1</v>
      </c>
      <c r="I17" s="18" t="s">
        <v>146</v>
      </c>
      <c r="J17" s="56"/>
    </row>
    <row r="18" spans="1:10" ht="15.75" customHeight="1" x14ac:dyDescent="0.2">
      <c r="A18" s="19" t="s">
        <v>32</v>
      </c>
      <c r="B18" s="19" t="s">
        <v>1361</v>
      </c>
      <c r="C18" s="20" t="s">
        <v>1379</v>
      </c>
      <c r="D18" s="21" t="s">
        <v>77</v>
      </c>
      <c r="E18" s="103" t="e" vm="255">
        <v>#VALUE!</v>
      </c>
      <c r="F18" s="18">
        <v>53001</v>
      </c>
      <c r="G18" s="19" t="s">
        <v>1380</v>
      </c>
      <c r="H18" s="18">
        <v>50</v>
      </c>
      <c r="I18" s="18" t="s">
        <v>1381</v>
      </c>
      <c r="J18" s="56"/>
    </row>
    <row r="19" spans="1:10" ht="15.75" customHeight="1" x14ac:dyDescent="0.2">
      <c r="A19" s="19" t="s">
        <v>32</v>
      </c>
      <c r="B19" s="19" t="s">
        <v>1361</v>
      </c>
      <c r="C19" s="20" t="s">
        <v>1379</v>
      </c>
      <c r="D19" s="21" t="s">
        <v>77</v>
      </c>
      <c r="E19" s="104"/>
      <c r="F19" s="18">
        <v>353002</v>
      </c>
      <c r="G19" s="19" t="s">
        <v>1382</v>
      </c>
      <c r="H19" s="18">
        <v>30</v>
      </c>
      <c r="I19" s="18" t="s">
        <v>1381</v>
      </c>
      <c r="J19" s="56"/>
    </row>
    <row r="20" spans="1:10" ht="15.75" customHeight="1" x14ac:dyDescent="0.2">
      <c r="A20" s="19" t="s">
        <v>32</v>
      </c>
      <c r="B20" s="19" t="s">
        <v>1361</v>
      </c>
      <c r="C20" s="20" t="s">
        <v>1379</v>
      </c>
      <c r="D20" s="21" t="s">
        <v>77</v>
      </c>
      <c r="E20" s="104"/>
      <c r="F20" s="18">
        <v>353003</v>
      </c>
      <c r="G20" s="19" t="s">
        <v>1383</v>
      </c>
      <c r="H20" s="18">
        <v>20</v>
      </c>
      <c r="I20" s="18" t="s">
        <v>1381</v>
      </c>
      <c r="J20" s="56"/>
    </row>
    <row r="21" spans="1:10" ht="15.75" customHeight="1" x14ac:dyDescent="0.2">
      <c r="A21" s="19" t="s">
        <v>32</v>
      </c>
      <c r="B21" s="19" t="s">
        <v>1361</v>
      </c>
      <c r="C21" s="20" t="s">
        <v>1379</v>
      </c>
      <c r="D21" s="21" t="s">
        <v>77</v>
      </c>
      <c r="E21" s="105"/>
      <c r="F21" s="18">
        <v>353004</v>
      </c>
      <c r="G21" s="19" t="s">
        <v>1384</v>
      </c>
      <c r="H21" s="18">
        <v>20</v>
      </c>
      <c r="I21" s="18" t="s">
        <v>1381</v>
      </c>
      <c r="J21" s="56"/>
    </row>
    <row r="22" spans="1:10" ht="15.75" customHeight="1" x14ac:dyDescent="0.2">
      <c r="A22" s="19" t="s">
        <v>32</v>
      </c>
      <c r="B22" s="19" t="s">
        <v>1361</v>
      </c>
      <c r="C22" s="20" t="s">
        <v>1379</v>
      </c>
      <c r="D22" s="21" t="s">
        <v>77</v>
      </c>
      <c r="E22" s="103" t="e" vm="256">
        <v>#VALUE!</v>
      </c>
      <c r="F22" s="18">
        <v>353101</v>
      </c>
      <c r="G22" s="19" t="s">
        <v>1385</v>
      </c>
      <c r="H22" s="18">
        <v>50</v>
      </c>
      <c r="I22" s="18" t="s">
        <v>1381</v>
      </c>
      <c r="J22" s="56"/>
    </row>
    <row r="23" spans="1:10" ht="15.75" customHeight="1" x14ac:dyDescent="0.2">
      <c r="A23" s="19" t="s">
        <v>32</v>
      </c>
      <c r="B23" s="19" t="s">
        <v>1361</v>
      </c>
      <c r="C23" s="20" t="s">
        <v>1379</v>
      </c>
      <c r="D23" s="21" t="s">
        <v>77</v>
      </c>
      <c r="E23" s="104"/>
      <c r="F23" s="18">
        <v>353102</v>
      </c>
      <c r="G23" s="19" t="s">
        <v>1386</v>
      </c>
      <c r="H23" s="18">
        <v>50</v>
      </c>
      <c r="I23" s="18" t="s">
        <v>1381</v>
      </c>
      <c r="J23" s="56"/>
    </row>
    <row r="24" spans="1:10" ht="15.75" customHeight="1" x14ac:dyDescent="0.2">
      <c r="A24" s="19" t="s">
        <v>32</v>
      </c>
      <c r="B24" s="19" t="s">
        <v>1361</v>
      </c>
      <c r="C24" s="20" t="s">
        <v>1379</v>
      </c>
      <c r="D24" s="21" t="s">
        <v>77</v>
      </c>
      <c r="E24" s="104"/>
      <c r="F24" s="18">
        <v>353103</v>
      </c>
      <c r="G24" s="19" t="s">
        <v>1387</v>
      </c>
      <c r="H24" s="18">
        <v>20</v>
      </c>
      <c r="I24" s="18" t="s">
        <v>1381</v>
      </c>
      <c r="J24" s="56"/>
    </row>
    <row r="25" spans="1:10" ht="15.75" customHeight="1" x14ac:dyDescent="0.2">
      <c r="A25" s="19" t="s">
        <v>32</v>
      </c>
      <c r="B25" s="19" t="s">
        <v>1361</v>
      </c>
      <c r="C25" s="20" t="s">
        <v>1379</v>
      </c>
      <c r="D25" s="21" t="s">
        <v>77</v>
      </c>
      <c r="E25" s="105"/>
      <c r="F25" s="18">
        <v>353104</v>
      </c>
      <c r="G25" s="19" t="s">
        <v>1388</v>
      </c>
      <c r="H25" s="18">
        <v>10</v>
      </c>
      <c r="I25" s="18" t="s">
        <v>1381</v>
      </c>
      <c r="J25" s="56"/>
    </row>
    <row r="26" spans="1:10" ht="15.75" customHeight="1" x14ac:dyDescent="0.2">
      <c r="A26" s="19" t="s">
        <v>32</v>
      </c>
      <c r="B26" s="19" t="s">
        <v>1361</v>
      </c>
      <c r="C26" s="20" t="s">
        <v>1379</v>
      </c>
      <c r="D26" s="21" t="s">
        <v>77</v>
      </c>
      <c r="E26" s="103" t="e" vm="257">
        <v>#VALUE!</v>
      </c>
      <c r="F26" s="18">
        <v>353202</v>
      </c>
      <c r="G26" s="19" t="s">
        <v>1389</v>
      </c>
      <c r="H26" s="18">
        <v>50</v>
      </c>
      <c r="I26" s="18" t="s">
        <v>1381</v>
      </c>
      <c r="J26" s="56"/>
    </row>
    <row r="27" spans="1:10" ht="15.75" customHeight="1" x14ac:dyDescent="0.2">
      <c r="A27" s="19" t="s">
        <v>32</v>
      </c>
      <c r="B27" s="19" t="s">
        <v>1361</v>
      </c>
      <c r="C27" s="20" t="s">
        <v>1379</v>
      </c>
      <c r="D27" s="21" t="s">
        <v>77</v>
      </c>
      <c r="E27" s="104"/>
      <c r="F27" s="18">
        <v>353203</v>
      </c>
      <c r="G27" s="19" t="s">
        <v>1390</v>
      </c>
      <c r="H27" s="18">
        <v>20</v>
      </c>
      <c r="I27" s="18" t="s">
        <v>1381</v>
      </c>
      <c r="J27" s="56"/>
    </row>
    <row r="28" spans="1:10" ht="15.75" customHeight="1" x14ac:dyDescent="0.2">
      <c r="A28" s="19" t="s">
        <v>32</v>
      </c>
      <c r="B28" s="19" t="s">
        <v>1361</v>
      </c>
      <c r="C28" s="20" t="s">
        <v>1379</v>
      </c>
      <c r="D28" s="21" t="s">
        <v>77</v>
      </c>
      <c r="E28" s="105"/>
      <c r="F28" s="18">
        <v>353204</v>
      </c>
      <c r="G28" s="19" t="s">
        <v>1391</v>
      </c>
      <c r="H28" s="18">
        <v>10</v>
      </c>
      <c r="I28" s="18" t="s">
        <v>48</v>
      </c>
      <c r="J28" s="56"/>
    </row>
    <row r="29" spans="1:10" ht="15.75" customHeight="1" x14ac:dyDescent="0.2">
      <c r="A29" s="19" t="s">
        <v>32</v>
      </c>
      <c r="B29" s="19" t="s">
        <v>1361</v>
      </c>
      <c r="C29" s="20" t="s">
        <v>1379</v>
      </c>
      <c r="D29" s="21" t="s">
        <v>77</v>
      </c>
      <c r="E29" s="103" t="e" vm="258">
        <v>#VALUE!</v>
      </c>
      <c r="F29" s="18">
        <v>353501</v>
      </c>
      <c r="G29" s="19" t="s">
        <v>1392</v>
      </c>
      <c r="H29" s="18">
        <v>50</v>
      </c>
      <c r="I29" s="18" t="s">
        <v>1381</v>
      </c>
      <c r="J29" s="56"/>
    </row>
    <row r="30" spans="1:10" ht="15.75" customHeight="1" x14ac:dyDescent="0.2">
      <c r="A30" s="19" t="s">
        <v>32</v>
      </c>
      <c r="B30" s="19" t="s">
        <v>1361</v>
      </c>
      <c r="C30" s="20" t="s">
        <v>1379</v>
      </c>
      <c r="D30" s="21" t="s">
        <v>77</v>
      </c>
      <c r="E30" s="104"/>
      <c r="F30" s="18">
        <v>353502</v>
      </c>
      <c r="G30" s="19" t="s">
        <v>1393</v>
      </c>
      <c r="H30" s="18">
        <v>30</v>
      </c>
      <c r="I30" s="18" t="s">
        <v>1381</v>
      </c>
      <c r="J30" s="56"/>
    </row>
    <row r="31" spans="1:10" ht="15.75" customHeight="1" x14ac:dyDescent="0.2">
      <c r="A31" s="19" t="s">
        <v>32</v>
      </c>
      <c r="B31" s="19" t="s">
        <v>1361</v>
      </c>
      <c r="C31" s="20" t="s">
        <v>1379</v>
      </c>
      <c r="D31" s="21" t="s">
        <v>77</v>
      </c>
      <c r="E31" s="104"/>
      <c r="F31" s="18">
        <v>353503</v>
      </c>
      <c r="G31" s="19" t="s">
        <v>1394</v>
      </c>
      <c r="H31" s="18">
        <v>28</v>
      </c>
      <c r="I31" s="18" t="s">
        <v>1381</v>
      </c>
      <c r="J31" s="56"/>
    </row>
    <row r="32" spans="1:10" ht="15.75" customHeight="1" x14ac:dyDescent="0.2">
      <c r="A32" s="19" t="s">
        <v>32</v>
      </c>
      <c r="B32" s="19" t="s">
        <v>1361</v>
      </c>
      <c r="C32" s="20" t="s">
        <v>1379</v>
      </c>
      <c r="D32" s="21" t="s">
        <v>77</v>
      </c>
      <c r="E32" s="105"/>
      <c r="F32" s="18">
        <v>353504</v>
      </c>
      <c r="G32" s="19" t="s">
        <v>1395</v>
      </c>
      <c r="H32" s="18">
        <v>14</v>
      </c>
      <c r="I32" s="18" t="s">
        <v>1381</v>
      </c>
      <c r="J32" s="56"/>
    </row>
    <row r="33" spans="1:10" ht="15.75" customHeight="1" x14ac:dyDescent="0.2">
      <c r="A33" s="19" t="s">
        <v>32</v>
      </c>
      <c r="B33" s="19" t="s">
        <v>1361</v>
      </c>
      <c r="C33" s="20" t="s">
        <v>1379</v>
      </c>
      <c r="D33" s="21" t="s">
        <v>77</v>
      </c>
      <c r="E33" s="103" t="e" vm="259">
        <v>#VALUE!</v>
      </c>
      <c r="F33" s="18">
        <v>353301</v>
      </c>
      <c r="G33" s="19" t="s">
        <v>1396</v>
      </c>
      <c r="H33" s="18">
        <v>50</v>
      </c>
      <c r="I33" s="18" t="s">
        <v>1381</v>
      </c>
      <c r="J33" s="56"/>
    </row>
    <row r="34" spans="1:10" ht="15.75" customHeight="1" x14ac:dyDescent="0.2">
      <c r="A34" s="19" t="s">
        <v>32</v>
      </c>
      <c r="B34" s="19" t="s">
        <v>1361</v>
      </c>
      <c r="C34" s="20" t="s">
        <v>1379</v>
      </c>
      <c r="D34" s="21" t="s">
        <v>77</v>
      </c>
      <c r="E34" s="104"/>
      <c r="F34" s="18">
        <v>353302</v>
      </c>
      <c r="G34" s="19" t="s">
        <v>1397</v>
      </c>
      <c r="H34" s="18">
        <v>50</v>
      </c>
      <c r="I34" s="18" t="s">
        <v>1381</v>
      </c>
      <c r="J34" s="56"/>
    </row>
    <row r="35" spans="1:10" ht="15.75" customHeight="1" x14ac:dyDescent="0.2">
      <c r="A35" s="19" t="s">
        <v>32</v>
      </c>
      <c r="B35" s="19" t="s">
        <v>1361</v>
      </c>
      <c r="C35" s="20" t="s">
        <v>1379</v>
      </c>
      <c r="D35" s="21" t="s">
        <v>77</v>
      </c>
      <c r="E35" s="104"/>
      <c r="F35" s="18">
        <v>353303</v>
      </c>
      <c r="G35" s="19" t="s">
        <v>1398</v>
      </c>
      <c r="H35" s="18">
        <v>20</v>
      </c>
      <c r="I35" s="18" t="s">
        <v>1381</v>
      </c>
      <c r="J35" s="56"/>
    </row>
    <row r="36" spans="1:10" ht="15.75" customHeight="1" x14ac:dyDescent="0.2">
      <c r="A36" s="19" t="s">
        <v>32</v>
      </c>
      <c r="B36" s="19" t="s">
        <v>1361</v>
      </c>
      <c r="C36" s="20" t="s">
        <v>1379</v>
      </c>
      <c r="D36" s="21" t="s">
        <v>77</v>
      </c>
      <c r="E36" s="105"/>
      <c r="F36" s="18">
        <v>353304</v>
      </c>
      <c r="G36" s="19" t="s">
        <v>1399</v>
      </c>
      <c r="H36" s="18">
        <v>10</v>
      </c>
      <c r="I36" s="18" t="s">
        <v>1381</v>
      </c>
      <c r="J36" s="56"/>
    </row>
    <row r="37" spans="1:10" ht="15.75" customHeight="1" x14ac:dyDescent="0.2">
      <c r="A37" s="19" t="s">
        <v>32</v>
      </c>
      <c r="B37" s="19" t="s">
        <v>1361</v>
      </c>
      <c r="C37" s="20" t="s">
        <v>1379</v>
      </c>
      <c r="D37" s="21" t="s">
        <v>77</v>
      </c>
      <c r="E37" s="113" t="e" vm="260">
        <v>#VALUE!</v>
      </c>
      <c r="F37" s="18">
        <v>53505</v>
      </c>
      <c r="G37" s="19" t="s">
        <v>1400</v>
      </c>
      <c r="H37" s="18">
        <v>1</v>
      </c>
      <c r="I37" s="18" t="s">
        <v>146</v>
      </c>
      <c r="J37" s="56"/>
    </row>
    <row r="38" spans="1:10" ht="15.75" customHeight="1" x14ac:dyDescent="0.2">
      <c r="A38" s="19" t="s">
        <v>32</v>
      </c>
      <c r="B38" s="19" t="s">
        <v>1361</v>
      </c>
      <c r="C38" s="20" t="s">
        <v>1379</v>
      </c>
      <c r="D38" s="21" t="s">
        <v>77</v>
      </c>
      <c r="E38" s="105"/>
      <c r="F38" s="18">
        <v>53506</v>
      </c>
      <c r="G38" s="19" t="s">
        <v>1401</v>
      </c>
      <c r="H38" s="18">
        <v>1</v>
      </c>
      <c r="I38" s="18" t="s">
        <v>146</v>
      </c>
      <c r="J38" s="56"/>
    </row>
    <row r="39" spans="1:10" ht="22.5" customHeight="1" x14ac:dyDescent="0.2">
      <c r="A39" s="19" t="s">
        <v>32</v>
      </c>
      <c r="B39" s="19" t="s">
        <v>1361</v>
      </c>
      <c r="C39" s="20" t="s">
        <v>1402</v>
      </c>
      <c r="D39" s="21" t="s">
        <v>77</v>
      </c>
      <c r="E39" s="76" t="e" vm="261">
        <v>#VALUE!</v>
      </c>
      <c r="F39" s="18">
        <v>53401</v>
      </c>
      <c r="G39" s="19" t="s">
        <v>1403</v>
      </c>
      <c r="H39" s="18">
        <v>10</v>
      </c>
      <c r="I39" s="18" t="s">
        <v>146</v>
      </c>
      <c r="J39" s="56"/>
    </row>
    <row r="40" spans="1:10" ht="22.5" customHeight="1" x14ac:dyDescent="0.2">
      <c r="A40" s="19" t="s">
        <v>32</v>
      </c>
      <c r="B40" s="19" t="s">
        <v>1361</v>
      </c>
      <c r="C40" s="20" t="s">
        <v>1402</v>
      </c>
      <c r="D40" s="21" t="s">
        <v>77</v>
      </c>
      <c r="E40" s="23" t="e" vm="262">
        <v>#VALUE!</v>
      </c>
      <c r="F40" s="18">
        <v>53402</v>
      </c>
      <c r="G40" s="19" t="s">
        <v>1404</v>
      </c>
      <c r="H40" s="18">
        <v>10</v>
      </c>
      <c r="I40" s="18" t="s">
        <v>146</v>
      </c>
      <c r="J40" s="56"/>
    </row>
    <row r="41" spans="1:10" ht="22.5" customHeight="1" x14ac:dyDescent="0.2">
      <c r="A41" s="19" t="s">
        <v>32</v>
      </c>
      <c r="B41" s="19" t="s">
        <v>1361</v>
      </c>
      <c r="C41" s="20" t="s">
        <v>1402</v>
      </c>
      <c r="D41" s="21" t="s">
        <v>77</v>
      </c>
      <c r="E41" s="23" t="e" vm="263">
        <v>#VALUE!</v>
      </c>
      <c r="F41" s="18">
        <v>53507</v>
      </c>
      <c r="G41" s="19" t="s">
        <v>1405</v>
      </c>
      <c r="H41" s="18">
        <v>10</v>
      </c>
      <c r="I41" s="18" t="s">
        <v>146</v>
      </c>
      <c r="J41" s="56"/>
    </row>
    <row r="42" spans="1:10" ht="22.5" customHeight="1" x14ac:dyDescent="0.2">
      <c r="A42" s="19" t="s">
        <v>32</v>
      </c>
      <c r="B42" s="19" t="s">
        <v>1361</v>
      </c>
      <c r="C42" s="20" t="s">
        <v>1402</v>
      </c>
      <c r="D42" s="21" t="s">
        <v>77</v>
      </c>
      <c r="E42" s="23" t="e" vm="264">
        <v>#VALUE!</v>
      </c>
      <c r="F42" s="18">
        <v>53508</v>
      </c>
      <c r="G42" s="19" t="s">
        <v>1406</v>
      </c>
      <c r="H42" s="18">
        <v>10</v>
      </c>
      <c r="I42" s="18" t="s">
        <v>146</v>
      </c>
      <c r="J42" s="56"/>
    </row>
    <row r="43" spans="1:10" ht="15.75" customHeight="1" x14ac:dyDescent="0.2">
      <c r="A43" s="45" t="s">
        <v>32</v>
      </c>
      <c r="B43" s="45" t="s">
        <v>1407</v>
      </c>
      <c r="C43" s="45" t="s">
        <v>1408</v>
      </c>
      <c r="D43" s="46" t="s">
        <v>46</v>
      </c>
      <c r="E43" s="130" t="e" vm="265">
        <v>#VALUE!</v>
      </c>
      <c r="F43" s="46">
        <v>15441</v>
      </c>
      <c r="G43" s="45" t="s">
        <v>1409</v>
      </c>
      <c r="H43" s="46">
        <v>25</v>
      </c>
      <c r="I43" s="46" t="s">
        <v>48</v>
      </c>
      <c r="J43" s="56"/>
    </row>
    <row r="44" spans="1:10" ht="15.75" customHeight="1" x14ac:dyDescent="0.2">
      <c r="A44" s="45" t="s">
        <v>32</v>
      </c>
      <c r="B44" s="45" t="s">
        <v>1407</v>
      </c>
      <c r="C44" s="45" t="s">
        <v>1408</v>
      </c>
      <c r="D44" s="46" t="s">
        <v>46</v>
      </c>
      <c r="E44" s="133"/>
      <c r="F44" s="46">
        <v>15442</v>
      </c>
      <c r="G44" s="45" t="s">
        <v>1410</v>
      </c>
      <c r="H44" s="46">
        <v>20</v>
      </c>
      <c r="I44" s="46" t="s">
        <v>48</v>
      </c>
      <c r="J44" s="56"/>
    </row>
    <row r="45" spans="1:10" ht="15.75" customHeight="1" x14ac:dyDescent="0.2">
      <c r="A45" s="45" t="s">
        <v>32</v>
      </c>
      <c r="B45" s="45" t="s">
        <v>1407</v>
      </c>
      <c r="C45" s="45" t="s">
        <v>1408</v>
      </c>
      <c r="D45" s="46" t="s">
        <v>46</v>
      </c>
      <c r="E45" s="134"/>
      <c r="F45" s="46">
        <v>15443</v>
      </c>
      <c r="G45" s="45" t="s">
        <v>1411</v>
      </c>
      <c r="H45" s="46">
        <v>10</v>
      </c>
      <c r="I45" s="46" t="s">
        <v>48</v>
      </c>
      <c r="J45" s="56"/>
    </row>
    <row r="46" spans="1:10" ht="15.75" customHeight="1" x14ac:dyDescent="0.2">
      <c r="A46" s="45" t="s">
        <v>32</v>
      </c>
      <c r="B46" s="45" t="s">
        <v>1407</v>
      </c>
      <c r="C46" s="45" t="s">
        <v>1408</v>
      </c>
      <c r="D46" s="46" t="s">
        <v>46</v>
      </c>
      <c r="E46" s="130" t="e" vm="266">
        <v>#VALUE!</v>
      </c>
      <c r="F46" s="46">
        <v>15451</v>
      </c>
      <c r="G46" s="45" t="s">
        <v>1412</v>
      </c>
      <c r="H46" s="46">
        <v>25</v>
      </c>
      <c r="I46" s="46" t="s">
        <v>48</v>
      </c>
      <c r="J46" s="56"/>
    </row>
    <row r="47" spans="1:10" ht="15.75" customHeight="1" x14ac:dyDescent="0.2">
      <c r="A47" s="45" t="s">
        <v>32</v>
      </c>
      <c r="B47" s="45" t="s">
        <v>1407</v>
      </c>
      <c r="C47" s="45" t="s">
        <v>1408</v>
      </c>
      <c r="D47" s="46" t="s">
        <v>46</v>
      </c>
      <c r="E47" s="131"/>
      <c r="F47" s="46">
        <v>15452</v>
      </c>
      <c r="G47" s="45" t="s">
        <v>1413</v>
      </c>
      <c r="H47" s="46">
        <v>20</v>
      </c>
      <c r="I47" s="46" t="s">
        <v>48</v>
      </c>
      <c r="J47" s="56"/>
    </row>
    <row r="48" spans="1:10" ht="15.75" customHeight="1" x14ac:dyDescent="0.2">
      <c r="A48" s="45" t="s">
        <v>32</v>
      </c>
      <c r="B48" s="45" t="s">
        <v>1407</v>
      </c>
      <c r="C48" s="45" t="s">
        <v>1408</v>
      </c>
      <c r="D48" s="46" t="s">
        <v>46</v>
      </c>
      <c r="E48" s="132"/>
      <c r="F48" s="46">
        <v>15453</v>
      </c>
      <c r="G48" s="45" t="s">
        <v>1414</v>
      </c>
      <c r="H48" s="46">
        <v>10</v>
      </c>
      <c r="I48" s="46" t="s">
        <v>48</v>
      </c>
      <c r="J48" s="56"/>
    </row>
    <row r="49" spans="1:10" ht="15.75" customHeight="1" x14ac:dyDescent="0.2">
      <c r="A49" s="45" t="s">
        <v>32</v>
      </c>
      <c r="B49" s="45" t="s">
        <v>1407</v>
      </c>
      <c r="C49" s="45" t="s">
        <v>1415</v>
      </c>
      <c r="D49" s="46" t="s">
        <v>77</v>
      </c>
      <c r="E49" s="130" t="e" vm="267">
        <v>#VALUE!</v>
      </c>
      <c r="F49" s="46">
        <v>54002</v>
      </c>
      <c r="G49" s="45" t="s">
        <v>1416</v>
      </c>
      <c r="H49" s="46">
        <v>30</v>
      </c>
      <c r="I49" s="46" t="s">
        <v>48</v>
      </c>
      <c r="J49" s="56"/>
    </row>
    <row r="50" spans="1:10" ht="15.75" customHeight="1" x14ac:dyDescent="0.2">
      <c r="A50" s="45" t="s">
        <v>32</v>
      </c>
      <c r="B50" s="45" t="s">
        <v>1407</v>
      </c>
      <c r="C50" s="45" t="s">
        <v>1415</v>
      </c>
      <c r="D50" s="46" t="s">
        <v>77</v>
      </c>
      <c r="E50" s="131"/>
      <c r="F50" s="46">
        <v>54003</v>
      </c>
      <c r="G50" s="45" t="s">
        <v>1417</v>
      </c>
      <c r="H50" s="46">
        <v>15</v>
      </c>
      <c r="I50" s="46" t="s">
        <v>48</v>
      </c>
      <c r="J50" s="56"/>
    </row>
    <row r="51" spans="1:10" ht="15.75" customHeight="1" x14ac:dyDescent="0.2">
      <c r="A51" s="45" t="s">
        <v>32</v>
      </c>
      <c r="B51" s="45" t="s">
        <v>1407</v>
      </c>
      <c r="C51" s="45" t="s">
        <v>1415</v>
      </c>
      <c r="D51" s="46" t="s">
        <v>77</v>
      </c>
      <c r="E51" s="132"/>
      <c r="F51" s="46">
        <v>54004</v>
      </c>
      <c r="G51" s="45" t="s">
        <v>1418</v>
      </c>
      <c r="H51" s="46">
        <v>5</v>
      </c>
      <c r="I51" s="46" t="s">
        <v>48</v>
      </c>
      <c r="J51" s="56"/>
    </row>
    <row r="52" spans="1:10" ht="15.75" customHeight="1" x14ac:dyDescent="0.2">
      <c r="A52" s="45" t="s">
        <v>32</v>
      </c>
      <c r="B52" s="45" t="s">
        <v>1407</v>
      </c>
      <c r="C52" s="45" t="s">
        <v>1415</v>
      </c>
      <c r="D52" s="46" t="s">
        <v>77</v>
      </c>
      <c r="E52" s="130" t="e" vm="268">
        <v>#VALUE!</v>
      </c>
      <c r="F52" s="46">
        <v>54102</v>
      </c>
      <c r="G52" s="45" t="s">
        <v>1419</v>
      </c>
      <c r="H52" s="46">
        <v>20</v>
      </c>
      <c r="I52" s="46" t="s">
        <v>48</v>
      </c>
      <c r="J52" s="56"/>
    </row>
    <row r="53" spans="1:10" ht="15.75" customHeight="1" x14ac:dyDescent="0.2">
      <c r="A53" s="45" t="s">
        <v>32</v>
      </c>
      <c r="B53" s="45" t="s">
        <v>1407</v>
      </c>
      <c r="C53" s="45" t="s">
        <v>1415</v>
      </c>
      <c r="D53" s="46" t="s">
        <v>77</v>
      </c>
      <c r="E53" s="131"/>
      <c r="F53" s="46">
        <v>54103</v>
      </c>
      <c r="G53" s="45" t="s">
        <v>1420</v>
      </c>
      <c r="H53" s="46">
        <v>20</v>
      </c>
      <c r="I53" s="46" t="s">
        <v>48</v>
      </c>
      <c r="J53" s="56"/>
    </row>
    <row r="54" spans="1:10" ht="15.75" customHeight="1" x14ac:dyDescent="0.2">
      <c r="A54" s="45" t="s">
        <v>32</v>
      </c>
      <c r="B54" s="45" t="s">
        <v>1407</v>
      </c>
      <c r="C54" s="45" t="s">
        <v>1415</v>
      </c>
      <c r="D54" s="46" t="s">
        <v>77</v>
      </c>
      <c r="E54" s="132"/>
      <c r="F54" s="46">
        <v>54104</v>
      </c>
      <c r="G54" s="45" t="s">
        <v>1421</v>
      </c>
      <c r="H54" s="46">
        <v>20</v>
      </c>
      <c r="I54" s="46" t="s">
        <v>48</v>
      </c>
      <c r="J54" s="56"/>
    </row>
    <row r="55" spans="1:10" ht="15.75" customHeight="1" x14ac:dyDescent="0.2">
      <c r="A55" s="45" t="s">
        <v>32</v>
      </c>
      <c r="B55" s="45" t="s">
        <v>1407</v>
      </c>
      <c r="C55" s="45" t="s">
        <v>1415</v>
      </c>
      <c r="D55" s="46" t="s">
        <v>77</v>
      </c>
      <c r="E55" s="127" t="e" vm="269">
        <v>#VALUE!</v>
      </c>
      <c r="F55" s="46">
        <v>54202</v>
      </c>
      <c r="G55" s="45" t="s">
        <v>1422</v>
      </c>
      <c r="H55" s="46">
        <v>20</v>
      </c>
      <c r="I55" s="46" t="s">
        <v>48</v>
      </c>
      <c r="J55" s="56"/>
    </row>
    <row r="56" spans="1:10" ht="15.75" customHeight="1" x14ac:dyDescent="0.2">
      <c r="A56" s="45" t="s">
        <v>32</v>
      </c>
      <c r="B56" s="45" t="s">
        <v>1407</v>
      </c>
      <c r="C56" s="45" t="s">
        <v>1415</v>
      </c>
      <c r="D56" s="46" t="s">
        <v>77</v>
      </c>
      <c r="E56" s="128"/>
      <c r="F56" s="46">
        <v>54203</v>
      </c>
      <c r="G56" s="45" t="s">
        <v>1423</v>
      </c>
      <c r="H56" s="46">
        <v>20</v>
      </c>
      <c r="I56" s="46" t="s">
        <v>48</v>
      </c>
      <c r="J56" s="56"/>
    </row>
    <row r="57" spans="1:10" ht="15.75" customHeight="1" x14ac:dyDescent="0.2">
      <c r="A57" s="45" t="s">
        <v>32</v>
      </c>
      <c r="B57" s="45" t="s">
        <v>1407</v>
      </c>
      <c r="C57" s="45" t="s">
        <v>1415</v>
      </c>
      <c r="D57" s="46" t="s">
        <v>77</v>
      </c>
      <c r="E57" s="129"/>
      <c r="F57" s="46">
        <v>54204</v>
      </c>
      <c r="G57" s="45" t="s">
        <v>1424</v>
      </c>
      <c r="H57" s="46">
        <v>20</v>
      </c>
      <c r="I57" s="46" t="s">
        <v>48</v>
      </c>
      <c r="J57" s="56"/>
    </row>
    <row r="58" spans="1:10" ht="15.75" customHeight="1" x14ac:dyDescent="0.2">
      <c r="A58" s="45" t="s">
        <v>32</v>
      </c>
      <c r="B58" s="45" t="s">
        <v>1407</v>
      </c>
      <c r="C58" s="45" t="s">
        <v>1415</v>
      </c>
      <c r="D58" s="46" t="s">
        <v>903</v>
      </c>
      <c r="E58" s="130" t="e" vm="270">
        <v>#VALUE!</v>
      </c>
      <c r="F58" s="46">
        <v>54302</v>
      </c>
      <c r="G58" s="45" t="s">
        <v>1425</v>
      </c>
      <c r="H58" s="46">
        <v>50</v>
      </c>
      <c r="I58" s="46" t="s">
        <v>48</v>
      </c>
      <c r="J58" s="56"/>
    </row>
    <row r="59" spans="1:10" ht="15.75" customHeight="1" x14ac:dyDescent="0.2">
      <c r="A59" s="45" t="s">
        <v>32</v>
      </c>
      <c r="B59" s="45" t="s">
        <v>1407</v>
      </c>
      <c r="C59" s="45" t="s">
        <v>1415</v>
      </c>
      <c r="D59" s="46" t="s">
        <v>903</v>
      </c>
      <c r="E59" s="131"/>
      <c r="F59" s="46">
        <v>54303</v>
      </c>
      <c r="G59" s="45" t="s">
        <v>1426</v>
      </c>
      <c r="H59" s="46">
        <v>50</v>
      </c>
      <c r="I59" s="46" t="s">
        <v>48</v>
      </c>
      <c r="J59" s="56"/>
    </row>
    <row r="60" spans="1:10" ht="15.75" customHeight="1" x14ac:dyDescent="0.2">
      <c r="A60" s="45" t="s">
        <v>32</v>
      </c>
      <c r="B60" s="45" t="s">
        <v>1407</v>
      </c>
      <c r="C60" s="45" t="s">
        <v>1415</v>
      </c>
      <c r="D60" s="46" t="s">
        <v>903</v>
      </c>
      <c r="E60" s="132"/>
      <c r="F60" s="46">
        <v>54304</v>
      </c>
      <c r="G60" s="45" t="s">
        <v>1427</v>
      </c>
      <c r="H60" s="46">
        <v>50</v>
      </c>
      <c r="I60" s="46" t="s">
        <v>48</v>
      </c>
      <c r="J60" s="56"/>
    </row>
    <row r="61" spans="1:10" ht="15.75" customHeight="1" x14ac:dyDescent="0.2">
      <c r="A61" s="40"/>
      <c r="B61" s="41"/>
      <c r="C61" s="41"/>
      <c r="D61" s="42"/>
      <c r="E61" s="80"/>
      <c r="F61" s="42"/>
      <c r="G61" s="42"/>
      <c r="H61" s="41"/>
      <c r="I61" s="42"/>
      <c r="J61" s="40"/>
    </row>
  </sheetData>
  <mergeCells count="15">
    <mergeCell ref="B1:I1"/>
    <mergeCell ref="E55:E57"/>
    <mergeCell ref="E33:E36"/>
    <mergeCell ref="E26:E28"/>
    <mergeCell ref="E58:E60"/>
    <mergeCell ref="E52:E54"/>
    <mergeCell ref="E3:E14"/>
    <mergeCell ref="E15:E17"/>
    <mergeCell ref="E37:E38"/>
    <mergeCell ref="E29:E32"/>
    <mergeCell ref="E18:E21"/>
    <mergeCell ref="E22:E25"/>
    <mergeCell ref="E46:E48"/>
    <mergeCell ref="E49:E51"/>
    <mergeCell ref="E43:E45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60" xr:uid="{00000000-0002-0000-0300-000000000000}">
      <formula1>0</formula1>
    </dataValidation>
  </dataValidations>
  <hyperlinks>
    <hyperlink ref="A1" location="'Menú por Categoría'!C14" display="Volver al menú principal" xr:uid="{00000000-0004-0000-03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J12"/>
  <sheetViews>
    <sheetView showGridLines="0" zoomScale="70" zoomScaleNormal="70" workbookViewId="0">
      <pane ySplit="2" topLeftCell="A3" activePane="bottomLeft" state="frozen"/>
      <selection pane="bottomLeft" activeCell="I20" sqref="I20"/>
    </sheetView>
  </sheetViews>
  <sheetFormatPr baseColWidth="10" defaultColWidth="10.83203125" defaultRowHeight="15.75" customHeight="1" x14ac:dyDescent="0.2"/>
  <cols>
    <col min="1" max="1" width="26" style="10" customWidth="1"/>
    <col min="2" max="2" width="24.332031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1" width="10.83203125" style="10" customWidth="1"/>
    <col min="12" max="16384" width="10.83203125" style="10"/>
  </cols>
  <sheetData>
    <row r="1" spans="1:10" ht="63.7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  <c r="J1" s="44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16.5" customHeight="1" x14ac:dyDescent="0.2">
      <c r="A3" s="18" t="s">
        <v>44</v>
      </c>
      <c r="B3" s="19" t="s">
        <v>18</v>
      </c>
      <c r="C3" s="20" t="s">
        <v>45</v>
      </c>
      <c r="D3" s="21" t="s">
        <v>46</v>
      </c>
      <c r="E3" s="103" t="e" vm="1">
        <v>#VALUE!</v>
      </c>
      <c r="F3" s="18">
        <v>11402</v>
      </c>
      <c r="G3" s="19" t="s">
        <v>47</v>
      </c>
      <c r="H3" s="18">
        <v>25</v>
      </c>
      <c r="I3" s="18" t="s">
        <v>48</v>
      </c>
      <c r="J3" s="56"/>
    </row>
    <row r="4" spans="1:10" ht="16.5" customHeight="1" x14ac:dyDescent="0.2">
      <c r="A4" s="18" t="s">
        <v>44</v>
      </c>
      <c r="B4" s="19" t="s">
        <v>18</v>
      </c>
      <c r="C4" s="20" t="s">
        <v>45</v>
      </c>
      <c r="D4" s="21" t="s">
        <v>46</v>
      </c>
      <c r="E4" s="104"/>
      <c r="F4" s="18">
        <v>11403</v>
      </c>
      <c r="G4" s="19" t="s">
        <v>49</v>
      </c>
      <c r="H4" s="18">
        <v>20</v>
      </c>
      <c r="I4" s="18" t="s">
        <v>48</v>
      </c>
      <c r="J4" s="56"/>
    </row>
    <row r="5" spans="1:10" ht="16.5" customHeight="1" x14ac:dyDescent="0.2">
      <c r="A5" s="18" t="s">
        <v>44</v>
      </c>
      <c r="B5" s="19" t="s">
        <v>18</v>
      </c>
      <c r="C5" s="20" t="s">
        <v>45</v>
      </c>
      <c r="D5" s="21" t="s">
        <v>46</v>
      </c>
      <c r="E5" s="104"/>
      <c r="F5" s="18">
        <v>11404</v>
      </c>
      <c r="G5" s="19" t="s">
        <v>50</v>
      </c>
      <c r="H5" s="18">
        <v>10</v>
      </c>
      <c r="I5" s="18" t="s">
        <v>48</v>
      </c>
      <c r="J5" s="56"/>
    </row>
    <row r="6" spans="1:10" ht="16.5" customHeight="1" x14ac:dyDescent="0.2">
      <c r="A6" s="18" t="s">
        <v>44</v>
      </c>
      <c r="B6" s="19" t="s">
        <v>18</v>
      </c>
      <c r="C6" s="20" t="s">
        <v>45</v>
      </c>
      <c r="D6" s="21" t="s">
        <v>46</v>
      </c>
      <c r="E6" s="104"/>
      <c r="F6" s="18">
        <v>11405</v>
      </c>
      <c r="G6" s="19" t="s">
        <v>51</v>
      </c>
      <c r="H6" s="18">
        <v>1</v>
      </c>
      <c r="I6" s="18" t="s">
        <v>48</v>
      </c>
      <c r="J6" s="56"/>
    </row>
    <row r="7" spans="1:10" ht="16.5" customHeight="1" x14ac:dyDescent="0.2">
      <c r="A7" s="18" t="s">
        <v>44</v>
      </c>
      <c r="B7" s="19" t="s">
        <v>18</v>
      </c>
      <c r="C7" s="20" t="s">
        <v>45</v>
      </c>
      <c r="D7" s="21" t="s">
        <v>46</v>
      </c>
      <c r="E7" s="104"/>
      <c r="F7" s="18">
        <v>11406</v>
      </c>
      <c r="G7" s="19" t="s">
        <v>52</v>
      </c>
      <c r="H7" s="18">
        <v>1</v>
      </c>
      <c r="I7" s="18" t="s">
        <v>48</v>
      </c>
      <c r="J7" s="56"/>
    </row>
    <row r="8" spans="1:10" ht="16.5" customHeight="1" x14ac:dyDescent="0.2">
      <c r="A8" s="18" t="s">
        <v>44</v>
      </c>
      <c r="B8" s="19" t="s">
        <v>18</v>
      </c>
      <c r="C8" s="20" t="s">
        <v>45</v>
      </c>
      <c r="D8" s="21" t="s">
        <v>46</v>
      </c>
      <c r="E8" s="104"/>
      <c r="F8" s="18">
        <v>11407</v>
      </c>
      <c r="G8" s="19" t="s">
        <v>53</v>
      </c>
      <c r="H8" s="18">
        <v>1</v>
      </c>
      <c r="I8" s="18" t="s">
        <v>48</v>
      </c>
      <c r="J8" s="56"/>
    </row>
    <row r="9" spans="1:10" ht="16.5" customHeight="1" x14ac:dyDescent="0.2">
      <c r="A9" s="18" t="s">
        <v>44</v>
      </c>
      <c r="B9" s="19" t="s">
        <v>18</v>
      </c>
      <c r="C9" s="20" t="s">
        <v>45</v>
      </c>
      <c r="D9" s="21" t="s">
        <v>46</v>
      </c>
      <c r="E9" s="104"/>
      <c r="F9" s="18">
        <v>11408</v>
      </c>
      <c r="G9" s="19" t="s">
        <v>54</v>
      </c>
      <c r="H9" s="18">
        <v>1</v>
      </c>
      <c r="I9" s="18" t="s">
        <v>48</v>
      </c>
      <c r="J9" s="56"/>
    </row>
    <row r="10" spans="1:10" ht="16.5" customHeight="1" x14ac:dyDescent="0.2">
      <c r="A10" s="18" t="s">
        <v>44</v>
      </c>
      <c r="B10" s="19" t="s">
        <v>18</v>
      </c>
      <c r="C10" s="20" t="s">
        <v>45</v>
      </c>
      <c r="D10" s="21" t="s">
        <v>46</v>
      </c>
      <c r="E10" s="104"/>
      <c r="F10" s="18">
        <v>11409</v>
      </c>
      <c r="G10" s="19" t="s">
        <v>55</v>
      </c>
      <c r="H10" s="18">
        <v>1</v>
      </c>
      <c r="I10" s="18" t="s">
        <v>48</v>
      </c>
      <c r="J10" s="56"/>
    </row>
    <row r="11" spans="1:10" ht="16.5" customHeight="1" x14ac:dyDescent="0.2">
      <c r="A11" s="18" t="s">
        <v>44</v>
      </c>
      <c r="B11" s="19" t="s">
        <v>18</v>
      </c>
      <c r="C11" s="20" t="s">
        <v>45</v>
      </c>
      <c r="D11" s="21" t="s">
        <v>46</v>
      </c>
      <c r="E11" s="105"/>
      <c r="F11" s="18">
        <v>11410</v>
      </c>
      <c r="G11" s="19" t="s">
        <v>56</v>
      </c>
      <c r="H11" s="18">
        <v>1</v>
      </c>
      <c r="I11" s="18" t="s">
        <v>48</v>
      </c>
      <c r="J11" s="56"/>
    </row>
    <row r="12" spans="1:10" ht="15.75" customHeight="1" x14ac:dyDescent="0.2">
      <c r="A12" s="40"/>
      <c r="B12" s="41"/>
      <c r="C12" s="41"/>
      <c r="D12" s="42"/>
      <c r="E12" s="80"/>
      <c r="F12" s="42"/>
      <c r="G12" s="42"/>
      <c r="H12" s="41"/>
      <c r="I12" s="42"/>
      <c r="J12" s="40"/>
    </row>
  </sheetData>
  <mergeCells count="2">
    <mergeCell ref="B1:I1"/>
    <mergeCell ref="E3:E11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11" xr:uid="{00000000-0002-0000-0400-000000000000}">
      <formula1>0</formula1>
    </dataValidation>
  </dataValidations>
  <hyperlinks>
    <hyperlink ref="A1" location="'Menú por Categoría'!C14" display="Volver al menú principal" xr:uid="{00000000-0004-0000-04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J307"/>
  <sheetViews>
    <sheetView showGridLines="0" zoomScale="70" zoomScaleNormal="70" workbookViewId="0">
      <pane ySplit="2" topLeftCell="A3" activePane="bottomLeft" state="frozen"/>
      <selection pane="bottomLeft" activeCell="F12" sqref="F12"/>
    </sheetView>
  </sheetViews>
  <sheetFormatPr baseColWidth="10" defaultColWidth="16" defaultRowHeight="15.75" customHeight="1" x14ac:dyDescent="0.2"/>
  <cols>
    <col min="1" max="1" width="22.5" style="10" customWidth="1"/>
    <col min="2" max="2" width="24.332031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6384" width="16" style="10"/>
  </cols>
  <sheetData>
    <row r="1" spans="1:10" ht="71.2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15.75" customHeight="1" x14ac:dyDescent="0.2">
      <c r="A3" s="18" t="s">
        <v>44</v>
      </c>
      <c r="B3" s="20" t="s">
        <v>20</v>
      </c>
      <c r="C3" s="20" t="s">
        <v>57</v>
      </c>
      <c r="D3" s="21" t="s">
        <v>46</v>
      </c>
      <c r="E3" s="103" t="e" vm="2">
        <v>#VALUE!</v>
      </c>
      <c r="F3" s="18">
        <v>12002</v>
      </c>
      <c r="G3" s="19" t="s">
        <v>58</v>
      </c>
      <c r="H3" s="18">
        <v>25</v>
      </c>
      <c r="I3" s="18" t="s">
        <v>48</v>
      </c>
      <c r="J3" s="56"/>
    </row>
    <row r="4" spans="1:10" ht="15.75" customHeight="1" x14ac:dyDescent="0.2">
      <c r="A4" s="18" t="s">
        <v>44</v>
      </c>
      <c r="B4" s="20" t="s">
        <v>20</v>
      </c>
      <c r="C4" s="20" t="s">
        <v>57</v>
      </c>
      <c r="D4" s="21" t="s">
        <v>46</v>
      </c>
      <c r="E4" s="104"/>
      <c r="F4" s="18">
        <v>12003</v>
      </c>
      <c r="G4" s="19" t="s">
        <v>59</v>
      </c>
      <c r="H4" s="18">
        <v>20</v>
      </c>
      <c r="I4" s="18" t="s">
        <v>48</v>
      </c>
      <c r="J4" s="56"/>
    </row>
    <row r="5" spans="1:10" ht="15.75" customHeight="1" x14ac:dyDescent="0.2">
      <c r="A5" s="18" t="s">
        <v>44</v>
      </c>
      <c r="B5" s="20" t="s">
        <v>20</v>
      </c>
      <c r="C5" s="20" t="s">
        <v>57</v>
      </c>
      <c r="D5" s="21" t="s">
        <v>46</v>
      </c>
      <c r="E5" s="104"/>
      <c r="F5" s="18">
        <v>12004</v>
      </c>
      <c r="G5" s="19" t="s">
        <v>60</v>
      </c>
      <c r="H5" s="18">
        <v>10</v>
      </c>
      <c r="I5" s="18" t="s">
        <v>48</v>
      </c>
      <c r="J5" s="56"/>
    </row>
    <row r="6" spans="1:10" ht="15.75" customHeight="1" x14ac:dyDescent="0.2">
      <c r="A6" s="18" t="s">
        <v>44</v>
      </c>
      <c r="B6" s="20" t="s">
        <v>20</v>
      </c>
      <c r="C6" s="20" t="s">
        <v>57</v>
      </c>
      <c r="D6" s="21" t="s">
        <v>46</v>
      </c>
      <c r="E6" s="104"/>
      <c r="F6" s="18">
        <v>12005</v>
      </c>
      <c r="G6" s="19" t="s">
        <v>61</v>
      </c>
      <c r="H6" s="18">
        <v>1</v>
      </c>
      <c r="I6" s="18" t="s">
        <v>48</v>
      </c>
      <c r="J6" s="56"/>
    </row>
    <row r="7" spans="1:10" ht="15.75" customHeight="1" x14ac:dyDescent="0.2">
      <c r="A7" s="18" t="s">
        <v>44</v>
      </c>
      <c r="B7" s="20" t="s">
        <v>20</v>
      </c>
      <c r="C7" s="20" t="s">
        <v>57</v>
      </c>
      <c r="D7" s="21" t="s">
        <v>46</v>
      </c>
      <c r="E7" s="104"/>
      <c r="F7" s="18">
        <v>12006</v>
      </c>
      <c r="G7" s="19" t="s">
        <v>62</v>
      </c>
      <c r="H7" s="18">
        <v>1</v>
      </c>
      <c r="I7" s="18" t="s">
        <v>48</v>
      </c>
      <c r="J7" s="56"/>
    </row>
    <row r="8" spans="1:10" ht="15.75" customHeight="1" x14ac:dyDescent="0.2">
      <c r="A8" s="18" t="s">
        <v>44</v>
      </c>
      <c r="B8" s="20" t="s">
        <v>20</v>
      </c>
      <c r="C8" s="20" t="s">
        <v>57</v>
      </c>
      <c r="D8" s="21" t="s">
        <v>46</v>
      </c>
      <c r="E8" s="104"/>
      <c r="F8" s="18">
        <v>12007</v>
      </c>
      <c r="G8" s="19" t="s">
        <v>63</v>
      </c>
      <c r="H8" s="18">
        <v>1</v>
      </c>
      <c r="I8" s="18" t="s">
        <v>48</v>
      </c>
      <c r="J8" s="56"/>
    </row>
    <row r="9" spans="1:10" ht="15.75" customHeight="1" x14ac:dyDescent="0.2">
      <c r="A9" s="18" t="s">
        <v>44</v>
      </c>
      <c r="B9" s="20" t="s">
        <v>20</v>
      </c>
      <c r="C9" s="20" t="s">
        <v>57</v>
      </c>
      <c r="D9" s="21" t="s">
        <v>46</v>
      </c>
      <c r="E9" s="104"/>
      <c r="F9" s="18">
        <v>12008</v>
      </c>
      <c r="G9" s="19" t="s">
        <v>64</v>
      </c>
      <c r="H9" s="18">
        <v>1</v>
      </c>
      <c r="I9" s="18" t="s">
        <v>48</v>
      </c>
      <c r="J9" s="56"/>
    </row>
    <row r="10" spans="1:10" ht="15.75" customHeight="1" x14ac:dyDescent="0.2">
      <c r="A10" s="18" t="s">
        <v>44</v>
      </c>
      <c r="B10" s="20" t="s">
        <v>20</v>
      </c>
      <c r="C10" s="20" t="s">
        <v>57</v>
      </c>
      <c r="D10" s="21" t="s">
        <v>46</v>
      </c>
      <c r="E10" s="104"/>
      <c r="F10" s="18">
        <v>12009</v>
      </c>
      <c r="G10" s="19" t="s">
        <v>65</v>
      </c>
      <c r="H10" s="18">
        <v>1</v>
      </c>
      <c r="I10" s="18" t="s">
        <v>48</v>
      </c>
      <c r="J10" s="56"/>
    </row>
    <row r="11" spans="1:10" ht="15.75" customHeight="1" x14ac:dyDescent="0.2">
      <c r="A11" s="18" t="s">
        <v>44</v>
      </c>
      <c r="B11" s="20" t="s">
        <v>20</v>
      </c>
      <c r="C11" s="20" t="s">
        <v>57</v>
      </c>
      <c r="D11" s="21" t="s">
        <v>46</v>
      </c>
      <c r="E11" s="105"/>
      <c r="F11" s="18">
        <v>12010</v>
      </c>
      <c r="G11" s="19" t="s">
        <v>66</v>
      </c>
      <c r="H11" s="18">
        <v>1</v>
      </c>
      <c r="I11" s="18" t="s">
        <v>48</v>
      </c>
      <c r="J11" s="56"/>
    </row>
    <row r="12" spans="1:10" ht="15.75" customHeight="1" x14ac:dyDescent="0.2">
      <c r="A12" s="18" t="s">
        <v>44</v>
      </c>
      <c r="B12" s="20" t="s">
        <v>20</v>
      </c>
      <c r="C12" s="20" t="s">
        <v>57</v>
      </c>
      <c r="D12" s="21" t="s">
        <v>46</v>
      </c>
      <c r="E12" s="103" t="e" vm="3">
        <v>#VALUE!</v>
      </c>
      <c r="F12" s="18">
        <v>12102</v>
      </c>
      <c r="G12" s="19" t="s">
        <v>67</v>
      </c>
      <c r="H12" s="18">
        <v>25</v>
      </c>
      <c r="I12" s="18" t="s">
        <v>48</v>
      </c>
      <c r="J12" s="56"/>
    </row>
    <row r="13" spans="1:10" ht="15.75" customHeight="1" x14ac:dyDescent="0.2">
      <c r="A13" s="18" t="s">
        <v>44</v>
      </c>
      <c r="B13" s="20" t="s">
        <v>20</v>
      </c>
      <c r="C13" s="20" t="s">
        <v>57</v>
      </c>
      <c r="D13" s="21" t="s">
        <v>46</v>
      </c>
      <c r="E13" s="104"/>
      <c r="F13" s="18">
        <v>12103</v>
      </c>
      <c r="G13" s="19" t="s">
        <v>68</v>
      </c>
      <c r="H13" s="18">
        <v>20</v>
      </c>
      <c r="I13" s="18" t="s">
        <v>48</v>
      </c>
      <c r="J13" s="56"/>
    </row>
    <row r="14" spans="1:10" ht="15.75" customHeight="1" x14ac:dyDescent="0.2">
      <c r="A14" s="18" t="s">
        <v>44</v>
      </c>
      <c r="B14" s="20" t="s">
        <v>20</v>
      </c>
      <c r="C14" s="20" t="s">
        <v>57</v>
      </c>
      <c r="D14" s="21" t="s">
        <v>46</v>
      </c>
      <c r="E14" s="104"/>
      <c r="F14" s="18">
        <v>12104</v>
      </c>
      <c r="G14" s="19" t="s">
        <v>69</v>
      </c>
      <c r="H14" s="18">
        <v>10</v>
      </c>
      <c r="I14" s="18" t="s">
        <v>48</v>
      </c>
      <c r="J14" s="56"/>
    </row>
    <row r="15" spans="1:10" ht="15.75" customHeight="1" x14ac:dyDescent="0.2">
      <c r="A15" s="18" t="s">
        <v>44</v>
      </c>
      <c r="B15" s="20" t="s">
        <v>20</v>
      </c>
      <c r="C15" s="20" t="s">
        <v>57</v>
      </c>
      <c r="D15" s="21" t="s">
        <v>46</v>
      </c>
      <c r="E15" s="104"/>
      <c r="F15" s="18">
        <v>12105</v>
      </c>
      <c r="G15" s="19" t="s">
        <v>70</v>
      </c>
      <c r="H15" s="18">
        <v>1</v>
      </c>
      <c r="I15" s="18" t="s">
        <v>48</v>
      </c>
      <c r="J15" s="56"/>
    </row>
    <row r="16" spans="1:10" ht="15.75" customHeight="1" x14ac:dyDescent="0.2">
      <c r="A16" s="18" t="s">
        <v>44</v>
      </c>
      <c r="B16" s="20" t="s">
        <v>20</v>
      </c>
      <c r="C16" s="20" t="s">
        <v>57</v>
      </c>
      <c r="D16" s="21" t="s">
        <v>46</v>
      </c>
      <c r="E16" s="104"/>
      <c r="F16" s="18">
        <v>12106</v>
      </c>
      <c r="G16" s="19" t="s">
        <v>71</v>
      </c>
      <c r="H16" s="18">
        <v>1</v>
      </c>
      <c r="I16" s="18" t="s">
        <v>48</v>
      </c>
      <c r="J16" s="56"/>
    </row>
    <row r="17" spans="1:10" ht="15.75" customHeight="1" x14ac:dyDescent="0.2">
      <c r="A17" s="18" t="s">
        <v>44</v>
      </c>
      <c r="B17" s="20" t="s">
        <v>20</v>
      </c>
      <c r="C17" s="20" t="s">
        <v>57</v>
      </c>
      <c r="D17" s="21" t="s">
        <v>46</v>
      </c>
      <c r="E17" s="104"/>
      <c r="F17" s="18">
        <v>12107</v>
      </c>
      <c r="G17" s="19" t="s">
        <v>72</v>
      </c>
      <c r="H17" s="18">
        <v>1</v>
      </c>
      <c r="I17" s="18" t="s">
        <v>48</v>
      </c>
      <c r="J17" s="56"/>
    </row>
    <row r="18" spans="1:10" ht="15.75" customHeight="1" x14ac:dyDescent="0.2">
      <c r="A18" s="18" t="s">
        <v>44</v>
      </c>
      <c r="B18" s="20" t="s">
        <v>20</v>
      </c>
      <c r="C18" s="20" t="s">
        <v>57</v>
      </c>
      <c r="D18" s="21" t="s">
        <v>46</v>
      </c>
      <c r="E18" s="104"/>
      <c r="F18" s="18">
        <v>12108</v>
      </c>
      <c r="G18" s="19" t="s">
        <v>73</v>
      </c>
      <c r="H18" s="18">
        <v>1</v>
      </c>
      <c r="I18" s="18" t="s">
        <v>48</v>
      </c>
      <c r="J18" s="56"/>
    </row>
    <row r="19" spans="1:10" ht="15.75" customHeight="1" x14ac:dyDescent="0.2">
      <c r="A19" s="18" t="s">
        <v>44</v>
      </c>
      <c r="B19" s="20" t="s">
        <v>20</v>
      </c>
      <c r="C19" s="20" t="s">
        <v>57</v>
      </c>
      <c r="D19" s="21" t="s">
        <v>46</v>
      </c>
      <c r="E19" s="104"/>
      <c r="F19" s="18">
        <v>12109</v>
      </c>
      <c r="G19" s="19" t="s">
        <v>74</v>
      </c>
      <c r="H19" s="18">
        <v>1</v>
      </c>
      <c r="I19" s="18" t="s">
        <v>48</v>
      </c>
      <c r="J19" s="56"/>
    </row>
    <row r="20" spans="1:10" ht="15.75" customHeight="1" x14ac:dyDescent="0.2">
      <c r="A20" s="18" t="s">
        <v>44</v>
      </c>
      <c r="B20" s="20" t="s">
        <v>20</v>
      </c>
      <c r="C20" s="20" t="s">
        <v>57</v>
      </c>
      <c r="D20" s="21" t="s">
        <v>46</v>
      </c>
      <c r="E20" s="105"/>
      <c r="F20" s="18">
        <v>12110</v>
      </c>
      <c r="G20" s="19" t="s">
        <v>75</v>
      </c>
      <c r="H20" s="18">
        <v>1</v>
      </c>
      <c r="I20" s="18" t="s">
        <v>48</v>
      </c>
      <c r="J20" s="56"/>
    </row>
    <row r="21" spans="1:10" ht="15.75" customHeight="1" x14ac:dyDescent="0.2">
      <c r="A21" s="18" t="s">
        <v>44</v>
      </c>
      <c r="B21" s="20" t="s">
        <v>20</v>
      </c>
      <c r="C21" s="20" t="s">
        <v>76</v>
      </c>
      <c r="D21" s="21" t="s">
        <v>77</v>
      </c>
      <c r="E21" s="103" t="e" vm="4">
        <v>#VALUE!</v>
      </c>
      <c r="F21" s="18">
        <v>331202</v>
      </c>
      <c r="G21" s="19" t="s">
        <v>78</v>
      </c>
      <c r="H21" s="18">
        <v>40</v>
      </c>
      <c r="I21" s="18" t="s">
        <v>48</v>
      </c>
      <c r="J21" s="56"/>
    </row>
    <row r="22" spans="1:10" ht="15.75" customHeight="1" x14ac:dyDescent="0.2">
      <c r="A22" s="18" t="s">
        <v>44</v>
      </c>
      <c r="B22" s="20" t="s">
        <v>20</v>
      </c>
      <c r="C22" s="20" t="s">
        <v>76</v>
      </c>
      <c r="D22" s="21" t="s">
        <v>77</v>
      </c>
      <c r="E22" s="104"/>
      <c r="F22" s="18">
        <v>331203</v>
      </c>
      <c r="G22" s="19" t="s">
        <v>79</v>
      </c>
      <c r="H22" s="18">
        <v>25</v>
      </c>
      <c r="I22" s="18" t="s">
        <v>48</v>
      </c>
      <c r="J22" s="56"/>
    </row>
    <row r="23" spans="1:10" ht="15.75" customHeight="1" x14ac:dyDescent="0.2">
      <c r="A23" s="18" t="s">
        <v>44</v>
      </c>
      <c r="B23" s="20" t="s">
        <v>20</v>
      </c>
      <c r="C23" s="20" t="s">
        <v>76</v>
      </c>
      <c r="D23" s="21" t="s">
        <v>77</v>
      </c>
      <c r="E23" s="104"/>
      <c r="F23" s="18">
        <v>331204</v>
      </c>
      <c r="G23" s="19" t="s">
        <v>80</v>
      </c>
      <c r="H23" s="18">
        <v>10</v>
      </c>
      <c r="I23" s="18" t="s">
        <v>48</v>
      </c>
      <c r="J23" s="56"/>
    </row>
    <row r="24" spans="1:10" ht="15.75" customHeight="1" x14ac:dyDescent="0.2">
      <c r="A24" s="18" t="s">
        <v>44</v>
      </c>
      <c r="B24" s="20" t="s">
        <v>20</v>
      </c>
      <c r="C24" s="20" t="s">
        <v>76</v>
      </c>
      <c r="D24" s="21" t="s">
        <v>77</v>
      </c>
      <c r="E24" s="104"/>
      <c r="F24" s="18">
        <v>331205</v>
      </c>
      <c r="G24" s="19" t="s">
        <v>81</v>
      </c>
      <c r="H24" s="18">
        <v>10</v>
      </c>
      <c r="I24" s="18" t="s">
        <v>48</v>
      </c>
      <c r="J24" s="56"/>
    </row>
    <row r="25" spans="1:10" ht="15.75" customHeight="1" x14ac:dyDescent="0.2">
      <c r="A25" s="18" t="s">
        <v>44</v>
      </c>
      <c r="B25" s="20" t="s">
        <v>20</v>
      </c>
      <c r="C25" s="20" t="s">
        <v>76</v>
      </c>
      <c r="D25" s="21" t="s">
        <v>77</v>
      </c>
      <c r="E25" s="104"/>
      <c r="F25" s="18">
        <v>331206</v>
      </c>
      <c r="G25" s="19" t="s">
        <v>82</v>
      </c>
      <c r="H25" s="18">
        <v>9</v>
      </c>
      <c r="I25" s="18" t="s">
        <v>48</v>
      </c>
      <c r="J25" s="56"/>
    </row>
    <row r="26" spans="1:10" ht="15.75" customHeight="1" x14ac:dyDescent="0.2">
      <c r="A26" s="18" t="s">
        <v>44</v>
      </c>
      <c r="B26" s="20" t="s">
        <v>20</v>
      </c>
      <c r="C26" s="20" t="s">
        <v>76</v>
      </c>
      <c r="D26" s="21" t="s">
        <v>77</v>
      </c>
      <c r="E26" s="104"/>
      <c r="F26" s="18">
        <v>331207</v>
      </c>
      <c r="G26" s="19" t="s">
        <v>83</v>
      </c>
      <c r="H26" s="18">
        <v>9</v>
      </c>
      <c r="I26" s="18" t="s">
        <v>48</v>
      </c>
      <c r="J26" s="56"/>
    </row>
    <row r="27" spans="1:10" ht="15.75" customHeight="1" x14ac:dyDescent="0.2">
      <c r="A27" s="18" t="s">
        <v>44</v>
      </c>
      <c r="B27" s="20" t="s">
        <v>20</v>
      </c>
      <c r="C27" s="20" t="s">
        <v>76</v>
      </c>
      <c r="D27" s="21" t="s">
        <v>77</v>
      </c>
      <c r="E27" s="104"/>
      <c r="F27" s="18">
        <v>331208</v>
      </c>
      <c r="G27" s="19" t="s">
        <v>84</v>
      </c>
      <c r="H27" s="18">
        <v>6</v>
      </c>
      <c r="I27" s="18" t="s">
        <v>48</v>
      </c>
      <c r="J27" s="56"/>
    </row>
    <row r="28" spans="1:10" ht="15.75" customHeight="1" x14ac:dyDescent="0.2">
      <c r="A28" s="18" t="s">
        <v>44</v>
      </c>
      <c r="B28" s="20" t="s">
        <v>20</v>
      </c>
      <c r="C28" s="20" t="s">
        <v>76</v>
      </c>
      <c r="D28" s="21" t="s">
        <v>77</v>
      </c>
      <c r="E28" s="104"/>
      <c r="F28" s="18">
        <v>331209</v>
      </c>
      <c r="G28" s="19" t="s">
        <v>85</v>
      </c>
      <c r="H28" s="18">
        <v>1</v>
      </c>
      <c r="I28" s="18" t="s">
        <v>48</v>
      </c>
      <c r="J28" s="56"/>
    </row>
    <row r="29" spans="1:10" ht="15.75" customHeight="1" x14ac:dyDescent="0.2">
      <c r="A29" s="18" t="s">
        <v>44</v>
      </c>
      <c r="B29" s="20" t="s">
        <v>20</v>
      </c>
      <c r="C29" s="20" t="s">
        <v>76</v>
      </c>
      <c r="D29" s="21" t="s">
        <v>77</v>
      </c>
      <c r="E29" s="105"/>
      <c r="F29" s="18">
        <v>331210</v>
      </c>
      <c r="G29" s="19" t="s">
        <v>86</v>
      </c>
      <c r="H29" s="18">
        <v>1</v>
      </c>
      <c r="I29" s="18" t="s">
        <v>48</v>
      </c>
      <c r="J29" s="56"/>
    </row>
    <row r="30" spans="1:10" ht="15.75" customHeight="1" x14ac:dyDescent="0.2">
      <c r="A30" s="18" t="s">
        <v>44</v>
      </c>
      <c r="B30" s="20" t="s">
        <v>20</v>
      </c>
      <c r="C30" s="20" t="s">
        <v>76</v>
      </c>
      <c r="D30" s="21" t="s">
        <v>77</v>
      </c>
      <c r="E30" s="103" t="e" vm="5">
        <v>#VALUE!</v>
      </c>
      <c r="F30" s="18">
        <v>331102</v>
      </c>
      <c r="G30" s="19" t="s">
        <v>87</v>
      </c>
      <c r="H30" s="18">
        <v>60</v>
      </c>
      <c r="I30" s="18" t="s">
        <v>48</v>
      </c>
      <c r="J30" s="56"/>
    </row>
    <row r="31" spans="1:10" ht="15.75" customHeight="1" x14ac:dyDescent="0.2">
      <c r="A31" s="18" t="s">
        <v>44</v>
      </c>
      <c r="B31" s="20" t="s">
        <v>20</v>
      </c>
      <c r="C31" s="20" t="s">
        <v>76</v>
      </c>
      <c r="D31" s="21" t="s">
        <v>77</v>
      </c>
      <c r="E31" s="104"/>
      <c r="F31" s="18">
        <v>331103</v>
      </c>
      <c r="G31" s="19" t="s">
        <v>88</v>
      </c>
      <c r="H31" s="18">
        <v>20</v>
      </c>
      <c r="I31" s="18" t="s">
        <v>48</v>
      </c>
      <c r="J31" s="56"/>
    </row>
    <row r="32" spans="1:10" ht="15.75" customHeight="1" x14ac:dyDescent="0.2">
      <c r="A32" s="18" t="s">
        <v>44</v>
      </c>
      <c r="B32" s="20" t="s">
        <v>20</v>
      </c>
      <c r="C32" s="20" t="s">
        <v>76</v>
      </c>
      <c r="D32" s="21" t="s">
        <v>77</v>
      </c>
      <c r="E32" s="104"/>
      <c r="F32" s="18">
        <v>331104</v>
      </c>
      <c r="G32" s="19" t="s">
        <v>89</v>
      </c>
      <c r="H32" s="18">
        <v>20</v>
      </c>
      <c r="I32" s="18" t="s">
        <v>48</v>
      </c>
      <c r="J32" s="56"/>
    </row>
    <row r="33" spans="1:10" ht="15.75" customHeight="1" x14ac:dyDescent="0.2">
      <c r="A33" s="18" t="s">
        <v>44</v>
      </c>
      <c r="B33" s="20" t="s">
        <v>20</v>
      </c>
      <c r="C33" s="20" t="s">
        <v>76</v>
      </c>
      <c r="D33" s="21" t="s">
        <v>77</v>
      </c>
      <c r="E33" s="104"/>
      <c r="F33" s="18">
        <v>331105</v>
      </c>
      <c r="G33" s="19" t="s">
        <v>90</v>
      </c>
      <c r="H33" s="18">
        <v>10</v>
      </c>
      <c r="I33" s="18" t="s">
        <v>48</v>
      </c>
      <c r="J33" s="56"/>
    </row>
    <row r="34" spans="1:10" ht="15.75" customHeight="1" x14ac:dyDescent="0.2">
      <c r="A34" s="18" t="s">
        <v>44</v>
      </c>
      <c r="B34" s="20" t="s">
        <v>20</v>
      </c>
      <c r="C34" s="20" t="s">
        <v>76</v>
      </c>
      <c r="D34" s="21" t="s">
        <v>77</v>
      </c>
      <c r="E34" s="104"/>
      <c r="F34" s="18">
        <v>331106</v>
      </c>
      <c r="G34" s="19" t="s">
        <v>91</v>
      </c>
      <c r="H34" s="18">
        <v>9</v>
      </c>
      <c r="I34" s="18" t="s">
        <v>48</v>
      </c>
      <c r="J34" s="56"/>
    </row>
    <row r="35" spans="1:10" ht="15.75" customHeight="1" x14ac:dyDescent="0.2">
      <c r="A35" s="18" t="s">
        <v>44</v>
      </c>
      <c r="B35" s="20" t="s">
        <v>20</v>
      </c>
      <c r="C35" s="20" t="s">
        <v>76</v>
      </c>
      <c r="D35" s="21" t="s">
        <v>77</v>
      </c>
      <c r="E35" s="104"/>
      <c r="F35" s="18">
        <v>331107</v>
      </c>
      <c r="G35" s="19" t="s">
        <v>92</v>
      </c>
      <c r="H35" s="18">
        <v>6</v>
      </c>
      <c r="I35" s="18" t="s">
        <v>48</v>
      </c>
      <c r="J35" s="56"/>
    </row>
    <row r="36" spans="1:10" ht="15.75" customHeight="1" x14ac:dyDescent="0.2">
      <c r="A36" s="18" t="s">
        <v>44</v>
      </c>
      <c r="B36" s="20" t="s">
        <v>20</v>
      </c>
      <c r="C36" s="20" t="s">
        <v>76</v>
      </c>
      <c r="D36" s="21" t="s">
        <v>77</v>
      </c>
      <c r="E36" s="104"/>
      <c r="F36" s="18">
        <v>331108</v>
      </c>
      <c r="G36" s="19" t="s">
        <v>93</v>
      </c>
      <c r="H36" s="18">
        <v>4</v>
      </c>
      <c r="I36" s="18" t="s">
        <v>48</v>
      </c>
      <c r="J36" s="56"/>
    </row>
    <row r="37" spans="1:10" ht="15.75" customHeight="1" x14ac:dyDescent="0.2">
      <c r="A37" s="18" t="s">
        <v>44</v>
      </c>
      <c r="B37" s="20" t="s">
        <v>20</v>
      </c>
      <c r="C37" s="20" t="s">
        <v>76</v>
      </c>
      <c r="D37" s="21" t="s">
        <v>77</v>
      </c>
      <c r="E37" s="104"/>
      <c r="F37" s="18">
        <v>331109</v>
      </c>
      <c r="G37" s="19" t="s">
        <v>94</v>
      </c>
      <c r="H37" s="18">
        <v>2</v>
      </c>
      <c r="I37" s="18" t="s">
        <v>48</v>
      </c>
      <c r="J37" s="56"/>
    </row>
    <row r="38" spans="1:10" ht="15.75" customHeight="1" x14ac:dyDescent="0.2">
      <c r="A38" s="18" t="s">
        <v>44</v>
      </c>
      <c r="B38" s="20" t="s">
        <v>20</v>
      </c>
      <c r="C38" s="20" t="s">
        <v>76</v>
      </c>
      <c r="D38" s="21" t="s">
        <v>77</v>
      </c>
      <c r="E38" s="105"/>
      <c r="F38" s="18">
        <v>331110</v>
      </c>
      <c r="G38" s="19" t="s">
        <v>95</v>
      </c>
      <c r="H38" s="18">
        <v>1</v>
      </c>
      <c r="I38" s="18" t="s">
        <v>48</v>
      </c>
      <c r="J38" s="56"/>
    </row>
    <row r="39" spans="1:10" ht="15.75" customHeight="1" x14ac:dyDescent="0.2">
      <c r="A39" s="18" t="s">
        <v>44</v>
      </c>
      <c r="B39" s="20" t="s">
        <v>20</v>
      </c>
      <c r="C39" s="20" t="s">
        <v>76</v>
      </c>
      <c r="D39" s="21" t="s">
        <v>77</v>
      </c>
      <c r="E39" s="103" t="e" vm="6">
        <v>#VALUE!</v>
      </c>
      <c r="F39" s="18">
        <v>332302</v>
      </c>
      <c r="G39" s="19" t="s">
        <v>96</v>
      </c>
      <c r="H39" s="18">
        <v>10</v>
      </c>
      <c r="I39" s="18" t="s">
        <v>48</v>
      </c>
      <c r="J39" s="56"/>
    </row>
    <row r="40" spans="1:10" ht="15.75" customHeight="1" x14ac:dyDescent="0.2">
      <c r="A40" s="18" t="s">
        <v>44</v>
      </c>
      <c r="B40" s="20" t="s">
        <v>20</v>
      </c>
      <c r="C40" s="20" t="s">
        <v>76</v>
      </c>
      <c r="D40" s="21" t="s">
        <v>77</v>
      </c>
      <c r="E40" s="104"/>
      <c r="F40" s="18">
        <v>332308</v>
      </c>
      <c r="G40" s="19" t="s">
        <v>97</v>
      </c>
      <c r="H40" s="18">
        <v>10</v>
      </c>
      <c r="I40" s="18" t="s">
        <v>48</v>
      </c>
      <c r="J40" s="56"/>
    </row>
    <row r="41" spans="1:10" ht="15.75" customHeight="1" x14ac:dyDescent="0.2">
      <c r="A41" s="18" t="s">
        <v>44</v>
      </c>
      <c r="B41" s="20" t="s">
        <v>20</v>
      </c>
      <c r="C41" s="20" t="s">
        <v>76</v>
      </c>
      <c r="D41" s="21" t="s">
        <v>77</v>
      </c>
      <c r="E41" s="104"/>
      <c r="F41" s="18">
        <v>332303</v>
      </c>
      <c r="G41" s="19" t="s">
        <v>98</v>
      </c>
      <c r="H41" s="18">
        <v>10</v>
      </c>
      <c r="I41" s="18" t="s">
        <v>48</v>
      </c>
      <c r="J41" s="56"/>
    </row>
    <row r="42" spans="1:10" ht="15.75" customHeight="1" x14ac:dyDescent="0.2">
      <c r="A42" s="18" t="s">
        <v>44</v>
      </c>
      <c r="B42" s="20" t="s">
        <v>20</v>
      </c>
      <c r="C42" s="20" t="s">
        <v>76</v>
      </c>
      <c r="D42" s="21" t="s">
        <v>77</v>
      </c>
      <c r="E42" s="104"/>
      <c r="F42" s="18">
        <v>332304</v>
      </c>
      <c r="G42" s="19" t="s">
        <v>99</v>
      </c>
      <c r="H42" s="18">
        <v>10</v>
      </c>
      <c r="I42" s="18" t="s">
        <v>48</v>
      </c>
      <c r="J42" s="56"/>
    </row>
    <row r="43" spans="1:10" ht="15.75" customHeight="1" x14ac:dyDescent="0.2">
      <c r="A43" s="18" t="s">
        <v>44</v>
      </c>
      <c r="B43" s="20" t="s">
        <v>20</v>
      </c>
      <c r="C43" s="20" t="s">
        <v>76</v>
      </c>
      <c r="D43" s="21" t="s">
        <v>77</v>
      </c>
      <c r="E43" s="104"/>
      <c r="F43" s="18">
        <v>332306</v>
      </c>
      <c r="G43" s="19" t="s">
        <v>100</v>
      </c>
      <c r="H43" s="18">
        <v>10</v>
      </c>
      <c r="I43" s="18" t="s">
        <v>48</v>
      </c>
      <c r="J43" s="56"/>
    </row>
    <row r="44" spans="1:10" ht="15.75" customHeight="1" x14ac:dyDescent="0.2">
      <c r="A44" s="18" t="s">
        <v>44</v>
      </c>
      <c r="B44" s="20" t="s">
        <v>20</v>
      </c>
      <c r="C44" s="20" t="s">
        <v>76</v>
      </c>
      <c r="D44" s="21" t="s">
        <v>77</v>
      </c>
      <c r="E44" s="104"/>
      <c r="F44" s="18">
        <v>332307</v>
      </c>
      <c r="G44" s="19" t="s">
        <v>101</v>
      </c>
      <c r="H44" s="18">
        <v>10</v>
      </c>
      <c r="I44" s="18" t="s">
        <v>48</v>
      </c>
      <c r="J44" s="56"/>
    </row>
    <row r="45" spans="1:10" ht="15.75" customHeight="1" x14ac:dyDescent="0.2">
      <c r="A45" s="18" t="s">
        <v>44</v>
      </c>
      <c r="B45" s="20" t="s">
        <v>20</v>
      </c>
      <c r="C45" s="20" t="s">
        <v>76</v>
      </c>
      <c r="D45" s="21" t="s">
        <v>77</v>
      </c>
      <c r="E45" s="105"/>
      <c r="F45" s="18">
        <v>332305</v>
      </c>
      <c r="G45" s="19" t="s">
        <v>102</v>
      </c>
      <c r="H45" s="18">
        <v>10</v>
      </c>
      <c r="I45" s="18" t="s">
        <v>48</v>
      </c>
      <c r="J45" s="56"/>
    </row>
    <row r="46" spans="1:10" ht="15.75" customHeight="1" x14ac:dyDescent="0.2">
      <c r="A46" s="18" t="s">
        <v>44</v>
      </c>
      <c r="B46" s="20" t="s">
        <v>20</v>
      </c>
      <c r="C46" s="20" t="s">
        <v>76</v>
      </c>
      <c r="D46" s="21" t="s">
        <v>77</v>
      </c>
      <c r="E46" s="103" t="e" vm="7">
        <v>#VALUE!</v>
      </c>
      <c r="F46" s="18">
        <v>331902</v>
      </c>
      <c r="G46" s="19" t="s">
        <v>103</v>
      </c>
      <c r="H46" s="18">
        <v>10</v>
      </c>
      <c r="I46" s="18" t="s">
        <v>48</v>
      </c>
      <c r="J46" s="56"/>
    </row>
    <row r="47" spans="1:10" ht="15.75" customHeight="1" x14ac:dyDescent="0.2">
      <c r="A47" s="18" t="s">
        <v>44</v>
      </c>
      <c r="B47" s="20" t="s">
        <v>20</v>
      </c>
      <c r="C47" s="20" t="s">
        <v>76</v>
      </c>
      <c r="D47" s="21" t="s">
        <v>77</v>
      </c>
      <c r="E47" s="104"/>
      <c r="F47" s="18">
        <v>331908</v>
      </c>
      <c r="G47" s="19" t="s">
        <v>104</v>
      </c>
      <c r="H47" s="18">
        <v>10</v>
      </c>
      <c r="I47" s="18" t="s">
        <v>48</v>
      </c>
      <c r="J47" s="56"/>
    </row>
    <row r="48" spans="1:10" ht="15.75" customHeight="1" x14ac:dyDescent="0.2">
      <c r="A48" s="18" t="s">
        <v>44</v>
      </c>
      <c r="B48" s="20" t="s">
        <v>20</v>
      </c>
      <c r="C48" s="20" t="s">
        <v>76</v>
      </c>
      <c r="D48" s="21" t="s">
        <v>77</v>
      </c>
      <c r="E48" s="104"/>
      <c r="F48" s="18">
        <v>331903</v>
      </c>
      <c r="G48" s="19" t="s">
        <v>105</v>
      </c>
      <c r="H48" s="18">
        <v>10</v>
      </c>
      <c r="I48" s="18" t="s">
        <v>48</v>
      </c>
      <c r="J48" s="56"/>
    </row>
    <row r="49" spans="1:10" ht="15.75" customHeight="1" x14ac:dyDescent="0.2">
      <c r="A49" s="18" t="s">
        <v>44</v>
      </c>
      <c r="B49" s="20" t="s">
        <v>20</v>
      </c>
      <c r="C49" s="20" t="s">
        <v>76</v>
      </c>
      <c r="D49" s="21" t="s">
        <v>77</v>
      </c>
      <c r="E49" s="104"/>
      <c r="F49" s="18">
        <v>331904</v>
      </c>
      <c r="G49" s="19" t="s">
        <v>106</v>
      </c>
      <c r="H49" s="18">
        <v>10</v>
      </c>
      <c r="I49" s="18" t="s">
        <v>48</v>
      </c>
      <c r="J49" s="56"/>
    </row>
    <row r="50" spans="1:10" ht="15.75" customHeight="1" x14ac:dyDescent="0.2">
      <c r="A50" s="18" t="s">
        <v>44</v>
      </c>
      <c r="B50" s="20" t="s">
        <v>20</v>
      </c>
      <c r="C50" s="20" t="s">
        <v>76</v>
      </c>
      <c r="D50" s="21" t="s">
        <v>77</v>
      </c>
      <c r="E50" s="104"/>
      <c r="F50" s="18">
        <v>331906</v>
      </c>
      <c r="G50" s="19" t="s">
        <v>107</v>
      </c>
      <c r="H50" s="18">
        <v>10</v>
      </c>
      <c r="I50" s="18" t="s">
        <v>48</v>
      </c>
      <c r="J50" s="56"/>
    </row>
    <row r="51" spans="1:10" ht="15.75" customHeight="1" x14ac:dyDescent="0.2">
      <c r="A51" s="18" t="s">
        <v>44</v>
      </c>
      <c r="B51" s="20" t="s">
        <v>20</v>
      </c>
      <c r="C51" s="20" t="s">
        <v>76</v>
      </c>
      <c r="D51" s="21" t="s">
        <v>77</v>
      </c>
      <c r="E51" s="104"/>
      <c r="F51" s="18">
        <v>331907</v>
      </c>
      <c r="G51" s="19" t="s">
        <v>108</v>
      </c>
      <c r="H51" s="18">
        <v>10</v>
      </c>
      <c r="I51" s="18" t="s">
        <v>48</v>
      </c>
      <c r="J51" s="56"/>
    </row>
    <row r="52" spans="1:10" ht="15.75" customHeight="1" x14ac:dyDescent="0.2">
      <c r="A52" s="18" t="s">
        <v>44</v>
      </c>
      <c r="B52" s="20" t="s">
        <v>20</v>
      </c>
      <c r="C52" s="20" t="s">
        <v>76</v>
      </c>
      <c r="D52" s="21" t="s">
        <v>77</v>
      </c>
      <c r="E52" s="105"/>
      <c r="F52" s="18">
        <v>331905</v>
      </c>
      <c r="G52" s="19" t="s">
        <v>109</v>
      </c>
      <c r="H52" s="18">
        <v>10</v>
      </c>
      <c r="I52" s="18" t="s">
        <v>48</v>
      </c>
      <c r="J52" s="56"/>
    </row>
    <row r="53" spans="1:10" ht="22.5" customHeight="1" x14ac:dyDescent="0.2">
      <c r="A53" s="18" t="s">
        <v>44</v>
      </c>
      <c r="B53" s="20" t="s">
        <v>20</v>
      </c>
      <c r="C53" s="20" t="s">
        <v>76</v>
      </c>
      <c r="D53" s="21" t="s">
        <v>77</v>
      </c>
      <c r="E53" s="103" t="e" vm="8">
        <v>#VALUE!</v>
      </c>
      <c r="F53" s="18">
        <v>331702</v>
      </c>
      <c r="G53" s="19" t="s">
        <v>110</v>
      </c>
      <c r="H53" s="18">
        <v>25</v>
      </c>
      <c r="I53" s="18" t="s">
        <v>48</v>
      </c>
      <c r="J53" s="56"/>
    </row>
    <row r="54" spans="1:10" ht="22.5" customHeight="1" x14ac:dyDescent="0.2">
      <c r="A54" s="18" t="s">
        <v>44</v>
      </c>
      <c r="B54" s="20" t="s">
        <v>20</v>
      </c>
      <c r="C54" s="20" t="s">
        <v>76</v>
      </c>
      <c r="D54" s="21" t="s">
        <v>77</v>
      </c>
      <c r="E54" s="104"/>
      <c r="F54" s="18">
        <v>331703</v>
      </c>
      <c r="G54" s="19" t="s">
        <v>111</v>
      </c>
      <c r="H54" s="18">
        <v>20</v>
      </c>
      <c r="I54" s="18" t="s">
        <v>48</v>
      </c>
      <c r="J54" s="56"/>
    </row>
    <row r="55" spans="1:10" ht="22.5" customHeight="1" x14ac:dyDescent="0.2">
      <c r="A55" s="18" t="s">
        <v>44</v>
      </c>
      <c r="B55" s="20" t="s">
        <v>20</v>
      </c>
      <c r="C55" s="20" t="s">
        <v>76</v>
      </c>
      <c r="D55" s="21" t="s">
        <v>77</v>
      </c>
      <c r="E55" s="105"/>
      <c r="F55" s="18">
        <v>331704</v>
      </c>
      <c r="G55" s="19" t="s">
        <v>112</v>
      </c>
      <c r="H55" s="18">
        <v>20</v>
      </c>
      <c r="I55" s="18" t="s">
        <v>48</v>
      </c>
      <c r="J55" s="56"/>
    </row>
    <row r="56" spans="1:10" ht="21" customHeight="1" x14ac:dyDescent="0.2">
      <c r="A56" s="18" t="s">
        <v>44</v>
      </c>
      <c r="B56" s="20" t="s">
        <v>20</v>
      </c>
      <c r="C56" s="20" t="s">
        <v>76</v>
      </c>
      <c r="D56" s="21" t="s">
        <v>77</v>
      </c>
      <c r="E56" s="103" t="e" vm="9">
        <v>#VALUE!</v>
      </c>
      <c r="F56" s="18">
        <v>332202</v>
      </c>
      <c r="G56" s="19" t="s">
        <v>113</v>
      </c>
      <c r="H56" s="18">
        <v>9</v>
      </c>
      <c r="I56" s="18" t="s">
        <v>48</v>
      </c>
      <c r="J56" s="56"/>
    </row>
    <row r="57" spans="1:10" ht="21" customHeight="1" x14ac:dyDescent="0.2">
      <c r="A57" s="18" t="s">
        <v>44</v>
      </c>
      <c r="B57" s="20" t="s">
        <v>20</v>
      </c>
      <c r="C57" s="20" t="s">
        <v>76</v>
      </c>
      <c r="D57" s="21" t="s">
        <v>77</v>
      </c>
      <c r="E57" s="104"/>
      <c r="F57" s="18">
        <v>332203</v>
      </c>
      <c r="G57" s="19" t="s">
        <v>114</v>
      </c>
      <c r="H57" s="18">
        <v>9</v>
      </c>
      <c r="I57" s="18" t="s">
        <v>48</v>
      </c>
      <c r="J57" s="56"/>
    </row>
    <row r="58" spans="1:10" ht="21" customHeight="1" x14ac:dyDescent="0.2">
      <c r="A58" s="18" t="s">
        <v>44</v>
      </c>
      <c r="B58" s="20" t="s">
        <v>20</v>
      </c>
      <c r="C58" s="20" t="s">
        <v>76</v>
      </c>
      <c r="D58" s="21" t="s">
        <v>77</v>
      </c>
      <c r="E58" s="105"/>
      <c r="F58" s="18">
        <v>332204</v>
      </c>
      <c r="G58" s="19" t="s">
        <v>115</v>
      </c>
      <c r="H58" s="18">
        <v>9</v>
      </c>
      <c r="I58" s="18" t="s">
        <v>48</v>
      </c>
      <c r="J58" s="56"/>
    </row>
    <row r="59" spans="1:10" ht="22.5" customHeight="1" x14ac:dyDescent="0.2">
      <c r="A59" s="18" t="s">
        <v>44</v>
      </c>
      <c r="B59" s="20" t="s">
        <v>20</v>
      </c>
      <c r="C59" s="20" t="s">
        <v>76</v>
      </c>
      <c r="D59" s="21" t="s">
        <v>77</v>
      </c>
      <c r="E59" s="103" t="e" vm="10">
        <v>#VALUE!</v>
      </c>
      <c r="F59" s="18">
        <v>332002</v>
      </c>
      <c r="G59" s="19" t="s">
        <v>116</v>
      </c>
      <c r="H59" s="18">
        <v>10</v>
      </c>
      <c r="I59" s="18" t="s">
        <v>48</v>
      </c>
      <c r="J59" s="56"/>
    </row>
    <row r="60" spans="1:10" ht="22.5" customHeight="1" x14ac:dyDescent="0.2">
      <c r="A60" s="18" t="s">
        <v>44</v>
      </c>
      <c r="B60" s="20" t="s">
        <v>20</v>
      </c>
      <c r="C60" s="20" t="s">
        <v>76</v>
      </c>
      <c r="D60" s="21" t="s">
        <v>77</v>
      </c>
      <c r="E60" s="104"/>
      <c r="F60" s="18">
        <v>332003</v>
      </c>
      <c r="G60" s="19" t="s">
        <v>117</v>
      </c>
      <c r="H60" s="18">
        <v>10</v>
      </c>
      <c r="I60" s="18" t="s">
        <v>48</v>
      </c>
      <c r="J60" s="56"/>
    </row>
    <row r="61" spans="1:10" ht="22.5" customHeight="1" x14ac:dyDescent="0.2">
      <c r="A61" s="18" t="s">
        <v>44</v>
      </c>
      <c r="B61" s="20" t="s">
        <v>20</v>
      </c>
      <c r="C61" s="20" t="s">
        <v>76</v>
      </c>
      <c r="D61" s="21" t="s">
        <v>77</v>
      </c>
      <c r="E61" s="105"/>
      <c r="F61" s="18">
        <v>332004</v>
      </c>
      <c r="G61" s="19" t="s">
        <v>118</v>
      </c>
      <c r="H61" s="18">
        <v>10</v>
      </c>
      <c r="I61" s="18" t="s">
        <v>48</v>
      </c>
      <c r="J61" s="56"/>
    </row>
    <row r="62" spans="1:10" ht="18.75" customHeight="1" x14ac:dyDescent="0.2">
      <c r="A62" s="18" t="s">
        <v>44</v>
      </c>
      <c r="B62" s="20" t="s">
        <v>20</v>
      </c>
      <c r="C62" s="20" t="s">
        <v>76</v>
      </c>
      <c r="D62" s="21" t="s">
        <v>77</v>
      </c>
      <c r="E62" s="103" t="e" vm="11">
        <v>#VALUE!</v>
      </c>
      <c r="F62" s="18">
        <v>332101</v>
      </c>
      <c r="G62" s="19" t="s">
        <v>119</v>
      </c>
      <c r="H62" s="18">
        <v>5</v>
      </c>
      <c r="I62" s="18" t="s">
        <v>48</v>
      </c>
      <c r="J62" s="56"/>
    </row>
    <row r="63" spans="1:10" ht="18.75" customHeight="1" x14ac:dyDescent="0.2">
      <c r="A63" s="18" t="s">
        <v>44</v>
      </c>
      <c r="B63" s="20" t="s">
        <v>20</v>
      </c>
      <c r="C63" s="20" t="s">
        <v>76</v>
      </c>
      <c r="D63" s="21" t="s">
        <v>77</v>
      </c>
      <c r="E63" s="105"/>
      <c r="F63" s="18">
        <v>332102</v>
      </c>
      <c r="G63" s="19" t="s">
        <v>120</v>
      </c>
      <c r="H63" s="18">
        <v>5</v>
      </c>
      <c r="I63" s="18" t="s">
        <v>48</v>
      </c>
      <c r="J63" s="56"/>
    </row>
    <row r="64" spans="1:10" ht="15.75" customHeight="1" x14ac:dyDescent="0.2">
      <c r="A64" s="18" t="s">
        <v>44</v>
      </c>
      <c r="B64" s="20" t="s">
        <v>20</v>
      </c>
      <c r="C64" s="20" t="s">
        <v>76</v>
      </c>
      <c r="D64" s="21" t="s">
        <v>77</v>
      </c>
      <c r="E64" s="103" t="e" vm="12">
        <v>#VALUE!</v>
      </c>
      <c r="F64" s="18">
        <v>331402</v>
      </c>
      <c r="G64" s="19" t="s">
        <v>121</v>
      </c>
      <c r="H64" s="18">
        <v>50</v>
      </c>
      <c r="I64" s="18" t="s">
        <v>48</v>
      </c>
      <c r="J64" s="56"/>
    </row>
    <row r="65" spans="1:10" ht="15.75" customHeight="1" x14ac:dyDescent="0.2">
      <c r="A65" s="18" t="s">
        <v>44</v>
      </c>
      <c r="B65" s="20" t="s">
        <v>20</v>
      </c>
      <c r="C65" s="20" t="s">
        <v>76</v>
      </c>
      <c r="D65" s="21" t="s">
        <v>77</v>
      </c>
      <c r="E65" s="104"/>
      <c r="F65" s="18">
        <v>331403</v>
      </c>
      <c r="G65" s="19" t="s">
        <v>122</v>
      </c>
      <c r="H65" s="18">
        <v>30</v>
      </c>
      <c r="I65" s="18" t="s">
        <v>48</v>
      </c>
      <c r="J65" s="56"/>
    </row>
    <row r="66" spans="1:10" ht="15.75" customHeight="1" x14ac:dyDescent="0.2">
      <c r="A66" s="18" t="s">
        <v>44</v>
      </c>
      <c r="B66" s="20" t="s">
        <v>20</v>
      </c>
      <c r="C66" s="20" t="s">
        <v>76</v>
      </c>
      <c r="D66" s="21" t="s">
        <v>77</v>
      </c>
      <c r="E66" s="104"/>
      <c r="F66" s="18">
        <v>331404</v>
      </c>
      <c r="G66" s="19" t="s">
        <v>123</v>
      </c>
      <c r="H66" s="18">
        <v>20</v>
      </c>
      <c r="I66" s="18" t="s">
        <v>48</v>
      </c>
      <c r="J66" s="56"/>
    </row>
    <row r="67" spans="1:10" ht="15.75" customHeight="1" x14ac:dyDescent="0.2">
      <c r="A67" s="18" t="s">
        <v>44</v>
      </c>
      <c r="B67" s="20" t="s">
        <v>20</v>
      </c>
      <c r="C67" s="20" t="s">
        <v>76</v>
      </c>
      <c r="D67" s="21" t="s">
        <v>77</v>
      </c>
      <c r="E67" s="104"/>
      <c r="F67" s="18">
        <v>331405</v>
      </c>
      <c r="G67" s="19" t="s">
        <v>124</v>
      </c>
      <c r="H67" s="18">
        <v>10</v>
      </c>
      <c r="I67" s="18" t="s">
        <v>48</v>
      </c>
      <c r="J67" s="56"/>
    </row>
    <row r="68" spans="1:10" ht="15.75" customHeight="1" x14ac:dyDescent="0.2">
      <c r="A68" s="18" t="s">
        <v>44</v>
      </c>
      <c r="B68" s="20" t="s">
        <v>20</v>
      </c>
      <c r="C68" s="20" t="s">
        <v>76</v>
      </c>
      <c r="D68" s="21" t="s">
        <v>77</v>
      </c>
      <c r="E68" s="104"/>
      <c r="F68" s="18">
        <v>331406</v>
      </c>
      <c r="G68" s="19" t="s">
        <v>125</v>
      </c>
      <c r="H68" s="18">
        <v>10</v>
      </c>
      <c r="I68" s="18" t="s">
        <v>48</v>
      </c>
      <c r="J68" s="56"/>
    </row>
    <row r="69" spans="1:10" ht="15.75" customHeight="1" x14ac:dyDescent="0.2">
      <c r="A69" s="18" t="s">
        <v>44</v>
      </c>
      <c r="B69" s="20" t="s">
        <v>20</v>
      </c>
      <c r="C69" s="20" t="s">
        <v>76</v>
      </c>
      <c r="D69" s="21" t="s">
        <v>77</v>
      </c>
      <c r="E69" s="104"/>
      <c r="F69" s="18">
        <v>331407</v>
      </c>
      <c r="G69" s="19" t="s">
        <v>126</v>
      </c>
      <c r="H69" s="18">
        <v>12</v>
      </c>
      <c r="I69" s="18" t="s">
        <v>48</v>
      </c>
      <c r="J69" s="56"/>
    </row>
    <row r="70" spans="1:10" ht="15.75" customHeight="1" x14ac:dyDescent="0.2">
      <c r="A70" s="18" t="s">
        <v>44</v>
      </c>
      <c r="B70" s="20" t="s">
        <v>20</v>
      </c>
      <c r="C70" s="20" t="s">
        <v>76</v>
      </c>
      <c r="D70" s="21" t="s">
        <v>77</v>
      </c>
      <c r="E70" s="104"/>
      <c r="F70" s="18">
        <v>331408</v>
      </c>
      <c r="G70" s="19" t="s">
        <v>127</v>
      </c>
      <c r="H70" s="18">
        <v>5</v>
      </c>
      <c r="I70" s="18" t="s">
        <v>48</v>
      </c>
      <c r="J70" s="56"/>
    </row>
    <row r="71" spans="1:10" ht="15.75" customHeight="1" x14ac:dyDescent="0.2">
      <c r="A71" s="18" t="s">
        <v>44</v>
      </c>
      <c r="B71" s="20" t="s">
        <v>20</v>
      </c>
      <c r="C71" s="20" t="s">
        <v>76</v>
      </c>
      <c r="D71" s="21" t="s">
        <v>77</v>
      </c>
      <c r="E71" s="104"/>
      <c r="F71" s="18">
        <v>331409</v>
      </c>
      <c r="G71" s="19" t="s">
        <v>128</v>
      </c>
      <c r="H71" s="18">
        <v>4</v>
      </c>
      <c r="I71" s="18" t="s">
        <v>48</v>
      </c>
      <c r="J71" s="56"/>
    </row>
    <row r="72" spans="1:10" ht="15.75" customHeight="1" x14ac:dyDescent="0.2">
      <c r="A72" s="18" t="s">
        <v>44</v>
      </c>
      <c r="B72" s="20" t="s">
        <v>20</v>
      </c>
      <c r="C72" s="20" t="s">
        <v>76</v>
      </c>
      <c r="D72" s="21" t="s">
        <v>77</v>
      </c>
      <c r="E72" s="105"/>
      <c r="F72" s="18">
        <v>331410</v>
      </c>
      <c r="G72" s="19" t="s">
        <v>129</v>
      </c>
      <c r="H72" s="18">
        <v>3</v>
      </c>
      <c r="I72" s="18" t="s">
        <v>48</v>
      </c>
      <c r="J72" s="56"/>
    </row>
    <row r="73" spans="1:10" ht="15.75" customHeight="1" x14ac:dyDescent="0.2">
      <c r="A73" s="18" t="s">
        <v>44</v>
      </c>
      <c r="B73" s="20" t="s">
        <v>20</v>
      </c>
      <c r="C73" s="20" t="s">
        <v>76</v>
      </c>
      <c r="D73" s="21" t="s">
        <v>77</v>
      </c>
      <c r="E73" s="103" t="e" vm="13">
        <v>#VALUE!</v>
      </c>
      <c r="F73" s="18">
        <v>338001</v>
      </c>
      <c r="G73" s="19" t="s">
        <v>130</v>
      </c>
      <c r="H73" s="18">
        <v>20</v>
      </c>
      <c r="I73" s="18" t="s">
        <v>48</v>
      </c>
      <c r="J73" s="56"/>
    </row>
    <row r="74" spans="1:10" ht="15.75" customHeight="1" x14ac:dyDescent="0.2">
      <c r="A74" s="18" t="s">
        <v>44</v>
      </c>
      <c r="B74" s="20" t="s">
        <v>20</v>
      </c>
      <c r="C74" s="20" t="s">
        <v>76</v>
      </c>
      <c r="D74" s="21" t="s">
        <v>77</v>
      </c>
      <c r="E74" s="104"/>
      <c r="F74" s="18">
        <v>338002</v>
      </c>
      <c r="G74" s="19" t="s">
        <v>131</v>
      </c>
      <c r="H74" s="18">
        <v>20</v>
      </c>
      <c r="I74" s="18" t="s">
        <v>48</v>
      </c>
      <c r="J74" s="56"/>
    </row>
    <row r="75" spans="1:10" ht="15.75" customHeight="1" x14ac:dyDescent="0.2">
      <c r="A75" s="18" t="s">
        <v>44</v>
      </c>
      <c r="B75" s="20" t="s">
        <v>20</v>
      </c>
      <c r="C75" s="20" t="s">
        <v>76</v>
      </c>
      <c r="D75" s="21" t="s">
        <v>77</v>
      </c>
      <c r="E75" s="104"/>
      <c r="F75" s="18">
        <v>338003</v>
      </c>
      <c r="G75" s="19" t="s">
        <v>132</v>
      </c>
      <c r="H75" s="18">
        <v>20</v>
      </c>
      <c r="I75" s="18" t="s">
        <v>48</v>
      </c>
      <c r="J75" s="56"/>
    </row>
    <row r="76" spans="1:10" ht="15.75" customHeight="1" x14ac:dyDescent="0.2">
      <c r="A76" s="18" t="s">
        <v>44</v>
      </c>
      <c r="B76" s="20" t="s">
        <v>20</v>
      </c>
      <c r="C76" s="20" t="s">
        <v>76</v>
      </c>
      <c r="D76" s="21" t="s">
        <v>77</v>
      </c>
      <c r="E76" s="104"/>
      <c r="F76" s="18">
        <v>338004</v>
      </c>
      <c r="G76" s="19" t="s">
        <v>133</v>
      </c>
      <c r="H76" s="18">
        <v>10</v>
      </c>
      <c r="I76" s="18" t="s">
        <v>48</v>
      </c>
      <c r="J76" s="56"/>
    </row>
    <row r="77" spans="1:10" ht="15.75" customHeight="1" x14ac:dyDescent="0.2">
      <c r="A77" s="18" t="s">
        <v>44</v>
      </c>
      <c r="B77" s="20" t="s">
        <v>20</v>
      </c>
      <c r="C77" s="20" t="s">
        <v>76</v>
      </c>
      <c r="D77" s="21" t="s">
        <v>77</v>
      </c>
      <c r="E77" s="104"/>
      <c r="F77" s="18">
        <v>338005</v>
      </c>
      <c r="G77" s="19" t="s">
        <v>134</v>
      </c>
      <c r="H77" s="18">
        <v>10</v>
      </c>
      <c r="I77" s="18" t="s">
        <v>48</v>
      </c>
      <c r="J77" s="56"/>
    </row>
    <row r="78" spans="1:10" ht="15.75" customHeight="1" x14ac:dyDescent="0.2">
      <c r="A78" s="18" t="s">
        <v>44</v>
      </c>
      <c r="B78" s="20" t="s">
        <v>20</v>
      </c>
      <c r="C78" s="20" t="s">
        <v>76</v>
      </c>
      <c r="D78" s="21" t="s">
        <v>77</v>
      </c>
      <c r="E78" s="104"/>
      <c r="F78" s="18">
        <v>338006</v>
      </c>
      <c r="G78" s="19" t="s">
        <v>135</v>
      </c>
      <c r="H78" s="18">
        <v>10</v>
      </c>
      <c r="I78" s="18" t="s">
        <v>48</v>
      </c>
      <c r="J78" s="56"/>
    </row>
    <row r="79" spans="1:10" ht="15.75" customHeight="1" x14ac:dyDescent="0.2">
      <c r="A79" s="18" t="s">
        <v>44</v>
      </c>
      <c r="B79" s="20" t="s">
        <v>20</v>
      </c>
      <c r="C79" s="20" t="s">
        <v>76</v>
      </c>
      <c r="D79" s="21" t="s">
        <v>77</v>
      </c>
      <c r="E79" s="104"/>
      <c r="F79" s="18">
        <v>338007</v>
      </c>
      <c r="G79" s="19" t="s">
        <v>136</v>
      </c>
      <c r="H79" s="18">
        <v>12</v>
      </c>
      <c r="I79" s="18" t="s">
        <v>48</v>
      </c>
      <c r="J79" s="56"/>
    </row>
    <row r="80" spans="1:10" ht="15.75" customHeight="1" x14ac:dyDescent="0.2">
      <c r="A80" s="18" t="s">
        <v>44</v>
      </c>
      <c r="B80" s="20" t="s">
        <v>20</v>
      </c>
      <c r="C80" s="20" t="s">
        <v>76</v>
      </c>
      <c r="D80" s="21" t="s">
        <v>77</v>
      </c>
      <c r="E80" s="104"/>
      <c r="F80" s="18">
        <v>338008</v>
      </c>
      <c r="G80" s="19" t="s">
        <v>137</v>
      </c>
      <c r="H80" s="18">
        <v>12</v>
      </c>
      <c r="I80" s="18" t="s">
        <v>48</v>
      </c>
      <c r="J80" s="56"/>
    </row>
    <row r="81" spans="1:10" ht="15.75" customHeight="1" x14ac:dyDescent="0.2">
      <c r="A81" s="18" t="s">
        <v>44</v>
      </c>
      <c r="B81" s="20" t="s">
        <v>20</v>
      </c>
      <c r="C81" s="20" t="s">
        <v>76</v>
      </c>
      <c r="D81" s="21" t="s">
        <v>77</v>
      </c>
      <c r="E81" s="104"/>
      <c r="F81" s="18">
        <v>338009</v>
      </c>
      <c r="G81" s="19" t="s">
        <v>138</v>
      </c>
      <c r="H81" s="18">
        <v>12</v>
      </c>
      <c r="I81" s="18" t="s">
        <v>48</v>
      </c>
      <c r="J81" s="56"/>
    </row>
    <row r="82" spans="1:10" ht="15.75" customHeight="1" x14ac:dyDescent="0.2">
      <c r="A82" s="18" t="s">
        <v>44</v>
      </c>
      <c r="B82" s="20" t="s">
        <v>20</v>
      </c>
      <c r="C82" s="20" t="s">
        <v>76</v>
      </c>
      <c r="D82" s="21" t="s">
        <v>77</v>
      </c>
      <c r="E82" s="104"/>
      <c r="F82" s="18">
        <v>338010</v>
      </c>
      <c r="G82" s="19" t="s">
        <v>139</v>
      </c>
      <c r="H82" s="18">
        <v>12</v>
      </c>
      <c r="I82" s="18" t="s">
        <v>48</v>
      </c>
      <c r="J82" s="56"/>
    </row>
    <row r="83" spans="1:10" ht="15.75" customHeight="1" x14ac:dyDescent="0.2">
      <c r="A83" s="18" t="s">
        <v>44</v>
      </c>
      <c r="B83" s="20" t="s">
        <v>20</v>
      </c>
      <c r="C83" s="20" t="s">
        <v>76</v>
      </c>
      <c r="D83" s="21" t="s">
        <v>77</v>
      </c>
      <c r="E83" s="104"/>
      <c r="F83" s="18">
        <v>338011</v>
      </c>
      <c r="G83" s="19" t="s">
        <v>140</v>
      </c>
      <c r="H83" s="18">
        <v>12</v>
      </c>
      <c r="I83" s="18" t="s">
        <v>48</v>
      </c>
      <c r="J83" s="56"/>
    </row>
    <row r="84" spans="1:10" ht="15.75" customHeight="1" x14ac:dyDescent="0.2">
      <c r="A84" s="18" t="s">
        <v>44</v>
      </c>
      <c r="B84" s="20" t="s">
        <v>20</v>
      </c>
      <c r="C84" s="20" t="s">
        <v>76</v>
      </c>
      <c r="D84" s="21" t="s">
        <v>77</v>
      </c>
      <c r="E84" s="104"/>
      <c r="F84" s="18">
        <v>338012</v>
      </c>
      <c r="G84" s="19" t="s">
        <v>141</v>
      </c>
      <c r="H84" s="18">
        <v>12</v>
      </c>
      <c r="I84" s="18" t="s">
        <v>48</v>
      </c>
      <c r="J84" s="56"/>
    </row>
    <row r="85" spans="1:10" ht="15.75" customHeight="1" x14ac:dyDescent="0.2">
      <c r="A85" s="18" t="s">
        <v>44</v>
      </c>
      <c r="B85" s="20" t="s">
        <v>20</v>
      </c>
      <c r="C85" s="20" t="s">
        <v>76</v>
      </c>
      <c r="D85" s="21" t="s">
        <v>77</v>
      </c>
      <c r="E85" s="104"/>
      <c r="F85" s="18">
        <v>338013</v>
      </c>
      <c r="G85" s="19" t="s">
        <v>142</v>
      </c>
      <c r="H85" s="18">
        <v>12</v>
      </c>
      <c r="I85" s="18" t="s">
        <v>48</v>
      </c>
      <c r="J85" s="56"/>
    </row>
    <row r="86" spans="1:10" ht="15.75" customHeight="1" x14ac:dyDescent="0.2">
      <c r="A86" s="18" t="s">
        <v>44</v>
      </c>
      <c r="B86" s="20" t="s">
        <v>20</v>
      </c>
      <c r="C86" s="20" t="s">
        <v>76</v>
      </c>
      <c r="D86" s="21" t="s">
        <v>77</v>
      </c>
      <c r="E86" s="104"/>
      <c r="F86" s="18">
        <v>338014</v>
      </c>
      <c r="G86" s="19" t="s">
        <v>143</v>
      </c>
      <c r="H86" s="18">
        <v>12</v>
      </c>
      <c r="I86" s="18" t="s">
        <v>48</v>
      </c>
      <c r="J86" s="56"/>
    </row>
    <row r="87" spans="1:10" ht="15.75" customHeight="1" x14ac:dyDescent="0.2">
      <c r="A87" s="18" t="s">
        <v>44</v>
      </c>
      <c r="B87" s="20" t="s">
        <v>20</v>
      </c>
      <c r="C87" s="20" t="s">
        <v>76</v>
      </c>
      <c r="D87" s="21" t="s">
        <v>77</v>
      </c>
      <c r="E87" s="104"/>
      <c r="F87" s="18">
        <v>338015</v>
      </c>
      <c r="G87" s="19" t="s">
        <v>144</v>
      </c>
      <c r="H87" s="18">
        <v>12</v>
      </c>
      <c r="I87" s="18" t="s">
        <v>48</v>
      </c>
      <c r="J87" s="56"/>
    </row>
    <row r="88" spans="1:10" ht="15.75" customHeight="1" x14ac:dyDescent="0.2">
      <c r="A88" s="18" t="s">
        <v>44</v>
      </c>
      <c r="B88" s="20" t="s">
        <v>20</v>
      </c>
      <c r="C88" s="20" t="s">
        <v>76</v>
      </c>
      <c r="D88" s="21" t="s">
        <v>77</v>
      </c>
      <c r="E88" s="104"/>
      <c r="F88" s="18">
        <v>338016</v>
      </c>
      <c r="G88" s="19" t="s">
        <v>145</v>
      </c>
      <c r="H88" s="18">
        <v>5</v>
      </c>
      <c r="I88" s="18" t="s">
        <v>146</v>
      </c>
      <c r="J88" s="56"/>
    </row>
    <row r="89" spans="1:10" ht="15.75" customHeight="1" x14ac:dyDescent="0.2">
      <c r="A89" s="18" t="s">
        <v>44</v>
      </c>
      <c r="B89" s="20" t="s">
        <v>20</v>
      </c>
      <c r="C89" s="20" t="s">
        <v>76</v>
      </c>
      <c r="D89" s="21" t="s">
        <v>77</v>
      </c>
      <c r="E89" s="104"/>
      <c r="F89" s="18">
        <v>338017</v>
      </c>
      <c r="G89" s="19" t="s">
        <v>147</v>
      </c>
      <c r="H89" s="18">
        <v>5</v>
      </c>
      <c r="I89" s="18" t="s">
        <v>48</v>
      </c>
      <c r="J89" s="56"/>
    </row>
    <row r="90" spans="1:10" ht="15.75" customHeight="1" x14ac:dyDescent="0.2">
      <c r="A90" s="18" t="s">
        <v>44</v>
      </c>
      <c r="B90" s="20" t="s">
        <v>20</v>
      </c>
      <c r="C90" s="20" t="s">
        <v>76</v>
      </c>
      <c r="D90" s="21" t="s">
        <v>77</v>
      </c>
      <c r="E90" s="104"/>
      <c r="F90" s="18">
        <v>338018</v>
      </c>
      <c r="G90" s="19" t="s">
        <v>148</v>
      </c>
      <c r="H90" s="18">
        <v>5</v>
      </c>
      <c r="I90" s="18" t="s">
        <v>48</v>
      </c>
      <c r="J90" s="56"/>
    </row>
    <row r="91" spans="1:10" ht="15.75" customHeight="1" x14ac:dyDescent="0.2">
      <c r="A91" s="18" t="s">
        <v>44</v>
      </c>
      <c r="B91" s="20" t="s">
        <v>20</v>
      </c>
      <c r="C91" s="20" t="s">
        <v>76</v>
      </c>
      <c r="D91" s="21" t="s">
        <v>77</v>
      </c>
      <c r="E91" s="104"/>
      <c r="F91" s="18">
        <v>338019</v>
      </c>
      <c r="G91" s="19" t="s">
        <v>149</v>
      </c>
      <c r="H91" s="18">
        <v>5</v>
      </c>
      <c r="I91" s="18" t="s">
        <v>48</v>
      </c>
      <c r="J91" s="56"/>
    </row>
    <row r="92" spans="1:10" ht="15.75" customHeight="1" x14ac:dyDescent="0.2">
      <c r="A92" s="18" t="s">
        <v>44</v>
      </c>
      <c r="B92" s="20" t="s">
        <v>20</v>
      </c>
      <c r="C92" s="20" t="s">
        <v>76</v>
      </c>
      <c r="D92" s="21" t="s">
        <v>77</v>
      </c>
      <c r="E92" s="104"/>
      <c r="F92" s="18">
        <v>338020</v>
      </c>
      <c r="G92" s="19" t="s">
        <v>150</v>
      </c>
      <c r="H92" s="18">
        <v>1</v>
      </c>
      <c r="I92" s="18" t="s">
        <v>48</v>
      </c>
      <c r="J92" s="56"/>
    </row>
    <row r="93" spans="1:10" ht="15.75" customHeight="1" x14ac:dyDescent="0.2">
      <c r="A93" s="18" t="s">
        <v>44</v>
      </c>
      <c r="B93" s="20" t="s">
        <v>20</v>
      </c>
      <c r="C93" s="20" t="s">
        <v>76</v>
      </c>
      <c r="D93" s="21" t="s">
        <v>77</v>
      </c>
      <c r="E93" s="104"/>
      <c r="F93" s="18">
        <v>338021</v>
      </c>
      <c r="G93" s="19" t="s">
        <v>151</v>
      </c>
      <c r="H93" s="18">
        <v>1</v>
      </c>
      <c r="I93" s="18" t="s">
        <v>48</v>
      </c>
      <c r="J93" s="56"/>
    </row>
    <row r="94" spans="1:10" ht="15.75" customHeight="1" x14ac:dyDescent="0.2">
      <c r="A94" s="18" t="s">
        <v>44</v>
      </c>
      <c r="B94" s="20" t="s">
        <v>20</v>
      </c>
      <c r="C94" s="20" t="s">
        <v>76</v>
      </c>
      <c r="D94" s="21" t="s">
        <v>77</v>
      </c>
      <c r="E94" s="104"/>
      <c r="F94" s="18">
        <v>338022</v>
      </c>
      <c r="G94" s="19" t="s">
        <v>152</v>
      </c>
      <c r="H94" s="18">
        <v>1</v>
      </c>
      <c r="I94" s="18" t="s">
        <v>48</v>
      </c>
      <c r="J94" s="56"/>
    </row>
    <row r="95" spans="1:10" ht="15.75" customHeight="1" x14ac:dyDescent="0.2">
      <c r="A95" s="18" t="s">
        <v>44</v>
      </c>
      <c r="B95" s="20" t="s">
        <v>20</v>
      </c>
      <c r="C95" s="20" t="s">
        <v>76</v>
      </c>
      <c r="D95" s="21" t="s">
        <v>77</v>
      </c>
      <c r="E95" s="104"/>
      <c r="F95" s="18">
        <v>338023</v>
      </c>
      <c r="G95" s="19" t="s">
        <v>153</v>
      </c>
      <c r="H95" s="18">
        <v>1</v>
      </c>
      <c r="I95" s="18" t="s">
        <v>48</v>
      </c>
      <c r="J95" s="56"/>
    </row>
    <row r="96" spans="1:10" ht="15.75" customHeight="1" x14ac:dyDescent="0.2">
      <c r="A96" s="18" t="s">
        <v>44</v>
      </c>
      <c r="B96" s="20" t="s">
        <v>20</v>
      </c>
      <c r="C96" s="20" t="s">
        <v>76</v>
      </c>
      <c r="D96" s="21" t="s">
        <v>77</v>
      </c>
      <c r="E96" s="104"/>
      <c r="F96" s="18">
        <v>338024</v>
      </c>
      <c r="G96" s="19" t="s">
        <v>154</v>
      </c>
      <c r="H96" s="18">
        <v>1</v>
      </c>
      <c r="I96" s="18" t="s">
        <v>48</v>
      </c>
      <c r="J96" s="56"/>
    </row>
    <row r="97" spans="1:10" ht="15.75" customHeight="1" x14ac:dyDescent="0.2">
      <c r="A97" s="18" t="s">
        <v>44</v>
      </c>
      <c r="B97" s="20" t="s">
        <v>20</v>
      </c>
      <c r="C97" s="20" t="s">
        <v>76</v>
      </c>
      <c r="D97" s="21" t="s">
        <v>77</v>
      </c>
      <c r="E97" s="104"/>
      <c r="F97" s="18">
        <v>338025</v>
      </c>
      <c r="G97" s="19" t="s">
        <v>155</v>
      </c>
      <c r="H97" s="18">
        <v>1</v>
      </c>
      <c r="I97" s="18" t="s">
        <v>48</v>
      </c>
      <c r="J97" s="56"/>
    </row>
    <row r="98" spans="1:10" ht="15.75" customHeight="1" x14ac:dyDescent="0.2">
      <c r="A98" s="18" t="s">
        <v>44</v>
      </c>
      <c r="B98" s="20" t="s">
        <v>20</v>
      </c>
      <c r="C98" s="20" t="s">
        <v>76</v>
      </c>
      <c r="D98" s="21" t="s">
        <v>77</v>
      </c>
      <c r="E98" s="104"/>
      <c r="F98" s="18">
        <v>338026</v>
      </c>
      <c r="G98" s="19" t="s">
        <v>156</v>
      </c>
      <c r="H98" s="18">
        <v>1</v>
      </c>
      <c r="I98" s="18" t="s">
        <v>48</v>
      </c>
      <c r="J98" s="56"/>
    </row>
    <row r="99" spans="1:10" ht="15.75" customHeight="1" x14ac:dyDescent="0.2">
      <c r="A99" s="18" t="s">
        <v>44</v>
      </c>
      <c r="B99" s="20" t="s">
        <v>20</v>
      </c>
      <c r="C99" s="20" t="s">
        <v>76</v>
      </c>
      <c r="D99" s="21" t="s">
        <v>77</v>
      </c>
      <c r="E99" s="104"/>
      <c r="F99" s="18">
        <v>338027</v>
      </c>
      <c r="G99" s="19" t="s">
        <v>157</v>
      </c>
      <c r="H99" s="18">
        <v>1</v>
      </c>
      <c r="I99" s="18" t="s">
        <v>48</v>
      </c>
      <c r="J99" s="56"/>
    </row>
    <row r="100" spans="1:10" ht="15.75" customHeight="1" x14ac:dyDescent="0.2">
      <c r="A100" s="18" t="s">
        <v>44</v>
      </c>
      <c r="B100" s="20" t="s">
        <v>20</v>
      </c>
      <c r="C100" s="20" t="s">
        <v>76</v>
      </c>
      <c r="D100" s="21" t="s">
        <v>77</v>
      </c>
      <c r="E100" s="105"/>
      <c r="F100" s="18">
        <v>338028</v>
      </c>
      <c r="G100" s="19" t="s">
        <v>158</v>
      </c>
      <c r="H100" s="18">
        <v>1</v>
      </c>
      <c r="I100" s="18" t="s">
        <v>48</v>
      </c>
      <c r="J100" s="56"/>
    </row>
    <row r="101" spans="1:10" ht="15.75" customHeight="1" x14ac:dyDescent="0.2">
      <c r="A101" s="18" t="s">
        <v>44</v>
      </c>
      <c r="B101" s="20" t="s">
        <v>20</v>
      </c>
      <c r="C101" s="20" t="s">
        <v>76</v>
      </c>
      <c r="D101" s="21" t="s">
        <v>77</v>
      </c>
      <c r="E101" s="103" t="e" vm="14">
        <v>#VALUE!</v>
      </c>
      <c r="F101" s="18">
        <v>331302</v>
      </c>
      <c r="G101" s="19" t="s">
        <v>159</v>
      </c>
      <c r="H101" s="18">
        <v>50</v>
      </c>
      <c r="I101" s="18" t="s">
        <v>48</v>
      </c>
      <c r="J101" s="56"/>
    </row>
    <row r="102" spans="1:10" ht="15.75" customHeight="1" x14ac:dyDescent="0.2">
      <c r="A102" s="18" t="s">
        <v>44</v>
      </c>
      <c r="B102" s="20" t="s">
        <v>20</v>
      </c>
      <c r="C102" s="20" t="s">
        <v>76</v>
      </c>
      <c r="D102" s="21" t="s">
        <v>77</v>
      </c>
      <c r="E102" s="104"/>
      <c r="F102" s="18">
        <v>331303</v>
      </c>
      <c r="G102" s="19" t="s">
        <v>160</v>
      </c>
      <c r="H102" s="18">
        <v>20</v>
      </c>
      <c r="I102" s="18" t="s">
        <v>48</v>
      </c>
      <c r="J102" s="56"/>
    </row>
    <row r="103" spans="1:10" ht="15.75" customHeight="1" x14ac:dyDescent="0.2">
      <c r="A103" s="18" t="s">
        <v>44</v>
      </c>
      <c r="B103" s="20" t="s">
        <v>20</v>
      </c>
      <c r="C103" s="20" t="s">
        <v>76</v>
      </c>
      <c r="D103" s="21" t="s">
        <v>77</v>
      </c>
      <c r="E103" s="104"/>
      <c r="F103" s="18">
        <v>331304</v>
      </c>
      <c r="G103" s="19" t="s">
        <v>161</v>
      </c>
      <c r="H103" s="18">
        <v>10</v>
      </c>
      <c r="I103" s="18" t="s">
        <v>48</v>
      </c>
      <c r="J103" s="56"/>
    </row>
    <row r="104" spans="1:10" ht="15.75" customHeight="1" x14ac:dyDescent="0.2">
      <c r="A104" s="18" t="s">
        <v>44</v>
      </c>
      <c r="B104" s="20" t="s">
        <v>20</v>
      </c>
      <c r="C104" s="20" t="s">
        <v>76</v>
      </c>
      <c r="D104" s="21" t="s">
        <v>77</v>
      </c>
      <c r="E104" s="104"/>
      <c r="F104" s="18">
        <v>331305</v>
      </c>
      <c r="G104" s="19" t="s">
        <v>162</v>
      </c>
      <c r="H104" s="18">
        <v>10</v>
      </c>
      <c r="I104" s="18" t="s">
        <v>48</v>
      </c>
      <c r="J104" s="56"/>
    </row>
    <row r="105" spans="1:10" ht="15.75" customHeight="1" x14ac:dyDescent="0.2">
      <c r="A105" s="18" t="s">
        <v>44</v>
      </c>
      <c r="B105" s="20" t="s">
        <v>20</v>
      </c>
      <c r="C105" s="20" t="s">
        <v>76</v>
      </c>
      <c r="D105" s="21" t="s">
        <v>77</v>
      </c>
      <c r="E105" s="104"/>
      <c r="F105" s="18">
        <v>331306</v>
      </c>
      <c r="G105" s="19" t="s">
        <v>163</v>
      </c>
      <c r="H105" s="18">
        <v>10</v>
      </c>
      <c r="I105" s="18" t="s">
        <v>48</v>
      </c>
      <c r="J105" s="56"/>
    </row>
    <row r="106" spans="1:10" ht="15.75" customHeight="1" x14ac:dyDescent="0.2">
      <c r="A106" s="18" t="s">
        <v>44</v>
      </c>
      <c r="B106" s="20" t="s">
        <v>20</v>
      </c>
      <c r="C106" s="20" t="s">
        <v>76</v>
      </c>
      <c r="D106" s="21" t="s">
        <v>77</v>
      </c>
      <c r="E106" s="104"/>
      <c r="F106" s="18">
        <v>331307</v>
      </c>
      <c r="G106" s="19" t="s">
        <v>164</v>
      </c>
      <c r="H106" s="18">
        <v>6</v>
      </c>
      <c r="I106" s="18" t="s">
        <v>48</v>
      </c>
      <c r="J106" s="56"/>
    </row>
    <row r="107" spans="1:10" ht="15.75" customHeight="1" x14ac:dyDescent="0.2">
      <c r="A107" s="18" t="s">
        <v>44</v>
      </c>
      <c r="B107" s="20" t="s">
        <v>20</v>
      </c>
      <c r="C107" s="20" t="s">
        <v>76</v>
      </c>
      <c r="D107" s="21" t="s">
        <v>77</v>
      </c>
      <c r="E107" s="104"/>
      <c r="F107" s="18">
        <v>331308</v>
      </c>
      <c r="G107" s="19" t="s">
        <v>165</v>
      </c>
      <c r="H107" s="18">
        <v>4</v>
      </c>
      <c r="I107" s="18" t="s">
        <v>48</v>
      </c>
      <c r="J107" s="56"/>
    </row>
    <row r="108" spans="1:10" ht="15.75" customHeight="1" x14ac:dyDescent="0.2">
      <c r="A108" s="18" t="s">
        <v>44</v>
      </c>
      <c r="B108" s="20" t="s">
        <v>20</v>
      </c>
      <c r="C108" s="20" t="s">
        <v>76</v>
      </c>
      <c r="D108" s="21" t="s">
        <v>77</v>
      </c>
      <c r="E108" s="104"/>
      <c r="F108" s="18">
        <v>331309</v>
      </c>
      <c r="G108" s="19" t="s">
        <v>166</v>
      </c>
      <c r="H108" s="18">
        <v>2</v>
      </c>
      <c r="I108" s="18" t="s">
        <v>48</v>
      </c>
      <c r="J108" s="56"/>
    </row>
    <row r="109" spans="1:10" ht="15.75" customHeight="1" x14ac:dyDescent="0.2">
      <c r="A109" s="18" t="s">
        <v>44</v>
      </c>
      <c r="B109" s="20" t="s">
        <v>20</v>
      </c>
      <c r="C109" s="20" t="s">
        <v>76</v>
      </c>
      <c r="D109" s="21" t="s">
        <v>77</v>
      </c>
      <c r="E109" s="105"/>
      <c r="F109" s="18">
        <v>331310</v>
      </c>
      <c r="G109" s="19" t="s">
        <v>167</v>
      </c>
      <c r="H109" s="18">
        <v>1</v>
      </c>
      <c r="I109" s="18" t="s">
        <v>168</v>
      </c>
      <c r="J109" s="56"/>
    </row>
    <row r="110" spans="1:10" ht="15.75" customHeight="1" x14ac:dyDescent="0.2">
      <c r="A110" s="18" t="s">
        <v>44</v>
      </c>
      <c r="B110" s="20" t="s">
        <v>20</v>
      </c>
      <c r="C110" s="20" t="s">
        <v>76</v>
      </c>
      <c r="D110" s="21" t="s">
        <v>77</v>
      </c>
      <c r="E110" s="103" t="e" vm="15">
        <v>#VALUE!</v>
      </c>
      <c r="F110" s="18">
        <v>331611</v>
      </c>
      <c r="G110" s="19" t="s">
        <v>169</v>
      </c>
      <c r="H110" s="18">
        <v>20</v>
      </c>
      <c r="I110" s="18" t="s">
        <v>48</v>
      </c>
      <c r="J110" s="56"/>
    </row>
    <row r="111" spans="1:10" ht="15.75" customHeight="1" x14ac:dyDescent="0.2">
      <c r="A111" s="18" t="s">
        <v>44</v>
      </c>
      <c r="B111" s="20" t="s">
        <v>20</v>
      </c>
      <c r="C111" s="20" t="s">
        <v>170</v>
      </c>
      <c r="D111" s="21" t="s">
        <v>77</v>
      </c>
      <c r="E111" s="104"/>
      <c r="F111" s="18">
        <v>31649</v>
      </c>
      <c r="G111" s="19" t="s">
        <v>171</v>
      </c>
      <c r="H111" s="18">
        <v>15</v>
      </c>
      <c r="I111" s="18" t="s">
        <v>48</v>
      </c>
      <c r="J111" s="56"/>
    </row>
    <row r="112" spans="1:10" ht="15.75" customHeight="1" x14ac:dyDescent="0.2">
      <c r="A112" s="18" t="s">
        <v>44</v>
      </c>
      <c r="B112" s="20" t="s">
        <v>20</v>
      </c>
      <c r="C112" s="20" t="s">
        <v>76</v>
      </c>
      <c r="D112" s="21" t="s">
        <v>77</v>
      </c>
      <c r="E112" s="104"/>
      <c r="F112" s="18">
        <v>331618</v>
      </c>
      <c r="G112" s="19" t="s">
        <v>172</v>
      </c>
      <c r="H112" s="18">
        <v>15</v>
      </c>
      <c r="I112" s="18" t="s">
        <v>48</v>
      </c>
      <c r="J112" s="56"/>
    </row>
    <row r="113" spans="1:10" ht="15.75" customHeight="1" x14ac:dyDescent="0.2">
      <c r="A113" s="18" t="s">
        <v>44</v>
      </c>
      <c r="B113" s="20" t="s">
        <v>20</v>
      </c>
      <c r="C113" s="20" t="s">
        <v>76</v>
      </c>
      <c r="D113" s="21" t="s">
        <v>77</v>
      </c>
      <c r="E113" s="104"/>
      <c r="F113" s="18">
        <v>331619</v>
      </c>
      <c r="G113" s="19" t="s">
        <v>173</v>
      </c>
      <c r="H113" s="18">
        <v>15</v>
      </c>
      <c r="I113" s="18" t="s">
        <v>48</v>
      </c>
      <c r="J113" s="56"/>
    </row>
    <row r="114" spans="1:10" ht="15.75" customHeight="1" x14ac:dyDescent="0.2">
      <c r="A114" s="18" t="s">
        <v>44</v>
      </c>
      <c r="B114" s="20" t="s">
        <v>20</v>
      </c>
      <c r="C114" s="20" t="s">
        <v>76</v>
      </c>
      <c r="D114" s="21" t="s">
        <v>77</v>
      </c>
      <c r="E114" s="104"/>
      <c r="F114" s="18">
        <v>331621</v>
      </c>
      <c r="G114" s="19" t="s">
        <v>174</v>
      </c>
      <c r="H114" s="18">
        <v>10</v>
      </c>
      <c r="I114" s="18" t="s">
        <v>48</v>
      </c>
      <c r="J114" s="56"/>
    </row>
    <row r="115" spans="1:10" ht="15.75" customHeight="1" x14ac:dyDescent="0.2">
      <c r="A115" s="18" t="s">
        <v>44</v>
      </c>
      <c r="B115" s="20" t="s">
        <v>20</v>
      </c>
      <c r="C115" s="20" t="s">
        <v>76</v>
      </c>
      <c r="D115" s="21" t="s">
        <v>77</v>
      </c>
      <c r="E115" s="104"/>
      <c r="F115" s="18">
        <v>331623</v>
      </c>
      <c r="G115" s="19" t="s">
        <v>175</v>
      </c>
      <c r="H115" s="18">
        <v>5</v>
      </c>
      <c r="I115" s="18" t="s">
        <v>48</v>
      </c>
      <c r="J115" s="56"/>
    </row>
    <row r="116" spans="1:10" ht="15.75" customHeight="1" x14ac:dyDescent="0.2">
      <c r="A116" s="18" t="s">
        <v>44</v>
      </c>
      <c r="B116" s="20" t="s">
        <v>20</v>
      </c>
      <c r="C116" s="20" t="s">
        <v>76</v>
      </c>
      <c r="D116" s="21" t="s">
        <v>77</v>
      </c>
      <c r="E116" s="104"/>
      <c r="F116" s="18">
        <v>331624</v>
      </c>
      <c r="G116" s="19" t="s">
        <v>176</v>
      </c>
      <c r="H116" s="18">
        <v>9</v>
      </c>
      <c r="I116" s="18" t="s">
        <v>48</v>
      </c>
      <c r="J116" s="56"/>
    </row>
    <row r="117" spans="1:10" ht="15.75" customHeight="1" x14ac:dyDescent="0.2">
      <c r="A117" s="18" t="s">
        <v>44</v>
      </c>
      <c r="B117" s="20" t="s">
        <v>20</v>
      </c>
      <c r="C117" s="20" t="s">
        <v>76</v>
      </c>
      <c r="D117" s="21" t="s">
        <v>77</v>
      </c>
      <c r="E117" s="104"/>
      <c r="F117" s="18">
        <v>331625</v>
      </c>
      <c r="G117" s="19" t="s">
        <v>177</v>
      </c>
      <c r="H117" s="18">
        <v>9</v>
      </c>
      <c r="I117" s="18" t="s">
        <v>48</v>
      </c>
      <c r="J117" s="56"/>
    </row>
    <row r="118" spans="1:10" ht="15.75" customHeight="1" x14ac:dyDescent="0.2">
      <c r="A118" s="18" t="s">
        <v>44</v>
      </c>
      <c r="B118" s="20" t="s">
        <v>20</v>
      </c>
      <c r="C118" s="20" t="s">
        <v>76</v>
      </c>
      <c r="D118" s="21" t="s">
        <v>77</v>
      </c>
      <c r="E118" s="104"/>
      <c r="F118" s="18">
        <v>331626</v>
      </c>
      <c r="G118" s="19" t="s">
        <v>178</v>
      </c>
      <c r="H118" s="18">
        <v>9</v>
      </c>
      <c r="I118" s="18" t="s">
        <v>48</v>
      </c>
      <c r="J118" s="56"/>
    </row>
    <row r="119" spans="1:10" ht="15.75" customHeight="1" x14ac:dyDescent="0.2">
      <c r="A119" s="18" t="s">
        <v>44</v>
      </c>
      <c r="B119" s="20" t="s">
        <v>20</v>
      </c>
      <c r="C119" s="20" t="s">
        <v>76</v>
      </c>
      <c r="D119" s="21" t="s">
        <v>77</v>
      </c>
      <c r="E119" s="104"/>
      <c r="F119" s="18">
        <v>331627</v>
      </c>
      <c r="G119" s="19" t="s">
        <v>179</v>
      </c>
      <c r="H119" s="18">
        <v>8</v>
      </c>
      <c r="I119" s="18" t="s">
        <v>48</v>
      </c>
      <c r="J119" s="56"/>
    </row>
    <row r="120" spans="1:10" ht="15.75" customHeight="1" x14ac:dyDescent="0.2">
      <c r="A120" s="18" t="s">
        <v>44</v>
      </c>
      <c r="B120" s="20" t="s">
        <v>20</v>
      </c>
      <c r="C120" s="20" t="s">
        <v>76</v>
      </c>
      <c r="D120" s="21" t="s">
        <v>77</v>
      </c>
      <c r="E120" s="104"/>
      <c r="F120" s="18">
        <v>331628</v>
      </c>
      <c r="G120" s="19" t="s">
        <v>180</v>
      </c>
      <c r="H120" s="18">
        <v>8</v>
      </c>
      <c r="I120" s="18" t="s">
        <v>48</v>
      </c>
      <c r="J120" s="56"/>
    </row>
    <row r="121" spans="1:10" ht="15.75" customHeight="1" x14ac:dyDescent="0.2">
      <c r="A121" s="18" t="s">
        <v>44</v>
      </c>
      <c r="B121" s="20" t="s">
        <v>20</v>
      </c>
      <c r="C121" s="20" t="s">
        <v>76</v>
      </c>
      <c r="D121" s="21" t="s">
        <v>77</v>
      </c>
      <c r="E121" s="104"/>
      <c r="F121" s="18">
        <v>331629</v>
      </c>
      <c r="G121" s="19" t="s">
        <v>181</v>
      </c>
      <c r="H121" s="18">
        <v>6</v>
      </c>
      <c r="I121" s="18" t="s">
        <v>48</v>
      </c>
      <c r="J121" s="56"/>
    </row>
    <row r="122" spans="1:10" ht="15.75" customHeight="1" x14ac:dyDescent="0.2">
      <c r="A122" s="18" t="s">
        <v>44</v>
      </c>
      <c r="B122" s="20" t="s">
        <v>20</v>
      </c>
      <c r="C122" s="20" t="s">
        <v>76</v>
      </c>
      <c r="D122" s="21" t="s">
        <v>77</v>
      </c>
      <c r="E122" s="104"/>
      <c r="F122" s="18">
        <v>331630</v>
      </c>
      <c r="G122" s="19" t="s">
        <v>182</v>
      </c>
      <c r="H122" s="18">
        <v>6</v>
      </c>
      <c r="I122" s="18" t="s">
        <v>48</v>
      </c>
      <c r="J122" s="56"/>
    </row>
    <row r="123" spans="1:10" ht="15.75" customHeight="1" x14ac:dyDescent="0.2">
      <c r="A123" s="18" t="s">
        <v>44</v>
      </c>
      <c r="B123" s="20" t="s">
        <v>20</v>
      </c>
      <c r="C123" s="20" t="s">
        <v>76</v>
      </c>
      <c r="D123" s="21" t="s">
        <v>77</v>
      </c>
      <c r="E123" s="104"/>
      <c r="F123" s="18">
        <v>331631</v>
      </c>
      <c r="G123" s="19" t="s">
        <v>183</v>
      </c>
      <c r="H123" s="18">
        <v>6</v>
      </c>
      <c r="I123" s="18" t="s">
        <v>48</v>
      </c>
      <c r="J123" s="56"/>
    </row>
    <row r="124" spans="1:10" ht="15.75" customHeight="1" x14ac:dyDescent="0.2">
      <c r="A124" s="18" t="s">
        <v>44</v>
      </c>
      <c r="B124" s="20" t="s">
        <v>20</v>
      </c>
      <c r="C124" s="20" t="s">
        <v>76</v>
      </c>
      <c r="D124" s="21" t="s">
        <v>77</v>
      </c>
      <c r="E124" s="104"/>
      <c r="F124" s="18">
        <v>331632</v>
      </c>
      <c r="G124" s="19" t="s">
        <v>184</v>
      </c>
      <c r="H124" s="18">
        <v>6</v>
      </c>
      <c r="I124" s="18" t="s">
        <v>48</v>
      </c>
      <c r="J124" s="56"/>
    </row>
    <row r="125" spans="1:10" ht="15.75" customHeight="1" x14ac:dyDescent="0.2">
      <c r="A125" s="18" t="s">
        <v>44</v>
      </c>
      <c r="B125" s="20" t="s">
        <v>20</v>
      </c>
      <c r="C125" s="20" t="s">
        <v>76</v>
      </c>
      <c r="D125" s="21" t="s">
        <v>77</v>
      </c>
      <c r="E125" s="104"/>
      <c r="F125" s="18">
        <v>331635</v>
      </c>
      <c r="G125" s="19" t="s">
        <v>185</v>
      </c>
      <c r="H125" s="18">
        <v>1</v>
      </c>
      <c r="I125" s="18" t="s">
        <v>48</v>
      </c>
      <c r="J125" s="56"/>
    </row>
    <row r="126" spans="1:10" ht="15.75" customHeight="1" x14ac:dyDescent="0.2">
      <c r="A126" s="18" t="s">
        <v>44</v>
      </c>
      <c r="B126" s="20" t="s">
        <v>20</v>
      </c>
      <c r="C126" s="20" t="s">
        <v>76</v>
      </c>
      <c r="D126" s="21" t="s">
        <v>77</v>
      </c>
      <c r="E126" s="104"/>
      <c r="F126" s="18">
        <v>331636</v>
      </c>
      <c r="G126" s="19" t="s">
        <v>186</v>
      </c>
      <c r="H126" s="18">
        <v>1</v>
      </c>
      <c r="I126" s="18" t="s">
        <v>48</v>
      </c>
      <c r="J126" s="56"/>
    </row>
    <row r="127" spans="1:10" ht="15.75" customHeight="1" x14ac:dyDescent="0.2">
      <c r="A127" s="18" t="s">
        <v>44</v>
      </c>
      <c r="B127" s="20" t="s">
        <v>20</v>
      </c>
      <c r="C127" s="20" t="s">
        <v>76</v>
      </c>
      <c r="D127" s="21" t="s">
        <v>77</v>
      </c>
      <c r="E127" s="104"/>
      <c r="F127" s="18">
        <v>331637</v>
      </c>
      <c r="G127" s="19" t="s">
        <v>187</v>
      </c>
      <c r="H127" s="18">
        <v>1</v>
      </c>
      <c r="I127" s="18" t="s">
        <v>48</v>
      </c>
      <c r="J127" s="56"/>
    </row>
    <row r="128" spans="1:10" ht="15.75" customHeight="1" x14ac:dyDescent="0.2">
      <c r="A128" s="18" t="s">
        <v>44</v>
      </c>
      <c r="B128" s="20" t="s">
        <v>20</v>
      </c>
      <c r="C128" s="20" t="s">
        <v>76</v>
      </c>
      <c r="D128" s="21" t="s">
        <v>77</v>
      </c>
      <c r="E128" s="104"/>
      <c r="F128" s="18">
        <v>331638</v>
      </c>
      <c r="G128" s="19" t="s">
        <v>188</v>
      </c>
      <c r="H128" s="18">
        <v>1</v>
      </c>
      <c r="I128" s="18" t="s">
        <v>48</v>
      </c>
      <c r="J128" s="56"/>
    </row>
    <row r="129" spans="1:10" ht="15.75" customHeight="1" x14ac:dyDescent="0.2">
      <c r="A129" s="18" t="s">
        <v>44</v>
      </c>
      <c r="B129" s="20" t="s">
        <v>20</v>
      </c>
      <c r="C129" s="20" t="s">
        <v>76</v>
      </c>
      <c r="D129" s="21" t="s">
        <v>77</v>
      </c>
      <c r="E129" s="104"/>
      <c r="F129" s="18">
        <v>331640</v>
      </c>
      <c r="G129" s="19" t="s">
        <v>189</v>
      </c>
      <c r="H129" s="18">
        <v>1</v>
      </c>
      <c r="I129" s="18" t="s">
        <v>48</v>
      </c>
      <c r="J129" s="56"/>
    </row>
    <row r="130" spans="1:10" ht="15.75" customHeight="1" x14ac:dyDescent="0.2">
      <c r="A130" s="18" t="s">
        <v>44</v>
      </c>
      <c r="B130" s="20" t="s">
        <v>20</v>
      </c>
      <c r="C130" s="20" t="s">
        <v>76</v>
      </c>
      <c r="D130" s="21" t="s">
        <v>77</v>
      </c>
      <c r="E130" s="104"/>
      <c r="F130" s="18">
        <v>331641</v>
      </c>
      <c r="G130" s="19" t="s">
        <v>190</v>
      </c>
      <c r="H130" s="18">
        <v>1</v>
      </c>
      <c r="I130" s="18" t="s">
        <v>48</v>
      </c>
      <c r="J130" s="56"/>
    </row>
    <row r="131" spans="1:10" ht="15.75" customHeight="1" x14ac:dyDescent="0.2">
      <c r="A131" s="18" t="s">
        <v>44</v>
      </c>
      <c r="B131" s="20" t="s">
        <v>20</v>
      </c>
      <c r="C131" s="20" t="s">
        <v>76</v>
      </c>
      <c r="D131" s="21" t="s">
        <v>77</v>
      </c>
      <c r="E131" s="104"/>
      <c r="F131" s="18">
        <v>331642</v>
      </c>
      <c r="G131" s="19" t="s">
        <v>191</v>
      </c>
      <c r="H131" s="18">
        <v>1</v>
      </c>
      <c r="I131" s="18" t="s">
        <v>48</v>
      </c>
      <c r="J131" s="56"/>
    </row>
    <row r="132" spans="1:10" ht="15.75" customHeight="1" x14ac:dyDescent="0.2">
      <c r="A132" s="18" t="s">
        <v>44</v>
      </c>
      <c r="B132" s="20" t="s">
        <v>20</v>
      </c>
      <c r="C132" s="20" t="s">
        <v>76</v>
      </c>
      <c r="D132" s="21" t="s">
        <v>77</v>
      </c>
      <c r="E132" s="104"/>
      <c r="F132" s="18">
        <v>331643</v>
      </c>
      <c r="G132" s="19" t="s">
        <v>192</v>
      </c>
      <c r="H132" s="18">
        <v>1</v>
      </c>
      <c r="I132" s="18" t="s">
        <v>48</v>
      </c>
      <c r="J132" s="56"/>
    </row>
    <row r="133" spans="1:10" ht="15.75" customHeight="1" x14ac:dyDescent="0.2">
      <c r="A133" s="18" t="s">
        <v>44</v>
      </c>
      <c r="B133" s="20" t="s">
        <v>20</v>
      </c>
      <c r="C133" s="20" t="s">
        <v>76</v>
      </c>
      <c r="D133" s="21" t="s">
        <v>77</v>
      </c>
      <c r="E133" s="104"/>
      <c r="F133" s="18">
        <v>331645</v>
      </c>
      <c r="G133" s="19" t="s">
        <v>193</v>
      </c>
      <c r="H133" s="18">
        <v>1</v>
      </c>
      <c r="I133" s="18" t="s">
        <v>48</v>
      </c>
      <c r="J133" s="56"/>
    </row>
    <row r="134" spans="1:10" ht="15.75" customHeight="1" x14ac:dyDescent="0.2">
      <c r="A134" s="18" t="s">
        <v>44</v>
      </c>
      <c r="B134" s="20" t="s">
        <v>20</v>
      </c>
      <c r="C134" s="20" t="s">
        <v>76</v>
      </c>
      <c r="D134" s="21" t="s">
        <v>77</v>
      </c>
      <c r="E134" s="104"/>
      <c r="F134" s="18">
        <v>331646</v>
      </c>
      <c r="G134" s="19" t="s">
        <v>194</v>
      </c>
      <c r="H134" s="18">
        <v>1</v>
      </c>
      <c r="I134" s="18" t="s">
        <v>168</v>
      </c>
      <c r="J134" s="56"/>
    </row>
    <row r="135" spans="1:10" ht="15.75" customHeight="1" x14ac:dyDescent="0.2">
      <c r="A135" s="18" t="s">
        <v>44</v>
      </c>
      <c r="B135" s="20" t="s">
        <v>20</v>
      </c>
      <c r="C135" s="20" t="s">
        <v>76</v>
      </c>
      <c r="D135" s="21" t="s">
        <v>77</v>
      </c>
      <c r="E135" s="104"/>
      <c r="F135" s="18">
        <v>331647</v>
      </c>
      <c r="G135" s="19" t="s">
        <v>195</v>
      </c>
      <c r="H135" s="18">
        <v>1</v>
      </c>
      <c r="I135" s="18" t="s">
        <v>168</v>
      </c>
      <c r="J135" s="56"/>
    </row>
    <row r="136" spans="1:10" ht="15.75" customHeight="1" x14ac:dyDescent="0.2">
      <c r="A136" s="18" t="s">
        <v>44</v>
      </c>
      <c r="B136" s="20" t="s">
        <v>20</v>
      </c>
      <c r="C136" s="20" t="s">
        <v>76</v>
      </c>
      <c r="D136" s="21" t="s">
        <v>77</v>
      </c>
      <c r="E136" s="105"/>
      <c r="F136" s="18">
        <v>331648</v>
      </c>
      <c r="G136" s="19" t="s">
        <v>196</v>
      </c>
      <c r="H136" s="18">
        <v>1</v>
      </c>
      <c r="I136" s="18" t="s">
        <v>168</v>
      </c>
      <c r="J136" s="56"/>
    </row>
    <row r="137" spans="1:10" ht="15.75" customHeight="1" x14ac:dyDescent="0.2">
      <c r="A137" s="18" t="s">
        <v>44</v>
      </c>
      <c r="B137" s="20" t="s">
        <v>20</v>
      </c>
      <c r="C137" s="20" t="s">
        <v>170</v>
      </c>
      <c r="D137" s="21" t="s">
        <v>77</v>
      </c>
      <c r="E137" s="103" t="e" vm="16">
        <v>#VALUE!</v>
      </c>
      <c r="F137" s="18">
        <v>31605</v>
      </c>
      <c r="G137" s="19" t="s">
        <v>197</v>
      </c>
      <c r="H137" s="18">
        <v>50</v>
      </c>
      <c r="I137" s="18" t="s">
        <v>48</v>
      </c>
      <c r="J137" s="56"/>
    </row>
    <row r="138" spans="1:10" ht="15.75" customHeight="1" x14ac:dyDescent="0.2">
      <c r="A138" s="18" t="s">
        <v>44</v>
      </c>
      <c r="B138" s="20" t="s">
        <v>20</v>
      </c>
      <c r="C138" s="20" t="s">
        <v>170</v>
      </c>
      <c r="D138" s="21" t="s">
        <v>77</v>
      </c>
      <c r="E138" s="104"/>
      <c r="F138" s="18">
        <v>31612</v>
      </c>
      <c r="G138" s="19" t="s">
        <v>198</v>
      </c>
      <c r="H138" s="18">
        <v>50</v>
      </c>
      <c r="I138" s="18" t="s">
        <v>48</v>
      </c>
      <c r="J138" s="56"/>
    </row>
    <row r="139" spans="1:10" ht="15.75" customHeight="1" x14ac:dyDescent="0.2">
      <c r="A139" s="18" t="s">
        <v>44</v>
      </c>
      <c r="B139" s="20" t="s">
        <v>20</v>
      </c>
      <c r="C139" s="20" t="s">
        <v>170</v>
      </c>
      <c r="D139" s="21" t="s">
        <v>77</v>
      </c>
      <c r="E139" s="104"/>
      <c r="F139" s="18">
        <v>31614</v>
      </c>
      <c r="G139" s="19" t="s">
        <v>199</v>
      </c>
      <c r="H139" s="18">
        <v>25</v>
      </c>
      <c r="I139" s="18" t="s">
        <v>48</v>
      </c>
      <c r="J139" s="56"/>
    </row>
    <row r="140" spans="1:10" ht="15.75" customHeight="1" x14ac:dyDescent="0.2">
      <c r="A140" s="18" t="s">
        <v>44</v>
      </c>
      <c r="B140" s="20" t="s">
        <v>20</v>
      </c>
      <c r="C140" s="20" t="s">
        <v>170</v>
      </c>
      <c r="D140" s="21" t="s">
        <v>77</v>
      </c>
      <c r="E140" s="104"/>
      <c r="F140" s="18">
        <v>31615</v>
      </c>
      <c r="G140" s="19" t="s">
        <v>200</v>
      </c>
      <c r="H140" s="18">
        <v>25</v>
      </c>
      <c r="I140" s="18" t="s">
        <v>48</v>
      </c>
      <c r="J140" s="56"/>
    </row>
    <row r="141" spans="1:10" ht="15.75" customHeight="1" x14ac:dyDescent="0.2">
      <c r="A141" s="18" t="s">
        <v>44</v>
      </c>
      <c r="B141" s="20" t="s">
        <v>20</v>
      </c>
      <c r="C141" s="20" t="s">
        <v>170</v>
      </c>
      <c r="D141" s="21" t="s">
        <v>77</v>
      </c>
      <c r="E141" s="104"/>
      <c r="F141" s="18">
        <v>31616</v>
      </c>
      <c r="G141" s="19" t="s">
        <v>201</v>
      </c>
      <c r="H141" s="18">
        <v>15</v>
      </c>
      <c r="I141" s="18" t="s">
        <v>48</v>
      </c>
      <c r="J141" s="56"/>
    </row>
    <row r="142" spans="1:10" ht="15.75" customHeight="1" x14ac:dyDescent="0.2">
      <c r="A142" s="18" t="s">
        <v>44</v>
      </c>
      <c r="B142" s="20" t="s">
        <v>20</v>
      </c>
      <c r="C142" s="20" t="s">
        <v>170</v>
      </c>
      <c r="D142" s="21" t="s">
        <v>77</v>
      </c>
      <c r="E142" s="104"/>
      <c r="F142" s="18">
        <v>31617</v>
      </c>
      <c r="G142" s="19" t="s">
        <v>202</v>
      </c>
      <c r="H142" s="18">
        <v>15</v>
      </c>
      <c r="I142" s="18" t="s">
        <v>48</v>
      </c>
      <c r="J142" s="56"/>
    </row>
    <row r="143" spans="1:10" ht="15.75" customHeight="1" x14ac:dyDescent="0.2">
      <c r="A143" s="18" t="s">
        <v>44</v>
      </c>
      <c r="B143" s="20" t="s">
        <v>20</v>
      </c>
      <c r="C143" s="20" t="s">
        <v>170</v>
      </c>
      <c r="D143" s="21" t="s">
        <v>77</v>
      </c>
      <c r="E143" s="104"/>
      <c r="F143" s="18">
        <v>31620</v>
      </c>
      <c r="G143" s="19" t="s">
        <v>203</v>
      </c>
      <c r="H143" s="18">
        <v>10</v>
      </c>
      <c r="I143" s="18" t="s">
        <v>48</v>
      </c>
      <c r="J143" s="56"/>
    </row>
    <row r="144" spans="1:10" ht="15.75" customHeight="1" x14ac:dyDescent="0.2">
      <c r="A144" s="18" t="s">
        <v>44</v>
      </c>
      <c r="B144" s="20" t="s">
        <v>20</v>
      </c>
      <c r="C144" s="20" t="s">
        <v>170</v>
      </c>
      <c r="D144" s="21" t="s">
        <v>77</v>
      </c>
      <c r="E144" s="104"/>
      <c r="F144" s="18">
        <v>31622</v>
      </c>
      <c r="G144" s="19" t="s">
        <v>204</v>
      </c>
      <c r="H144" s="18">
        <v>5</v>
      </c>
      <c r="I144" s="18" t="s">
        <v>48</v>
      </c>
      <c r="J144" s="56"/>
    </row>
    <row r="145" spans="1:10" ht="15.75" customHeight="1" x14ac:dyDescent="0.2">
      <c r="A145" s="18" t="s">
        <v>44</v>
      </c>
      <c r="B145" s="20" t="s">
        <v>20</v>
      </c>
      <c r="C145" s="20" t="s">
        <v>170</v>
      </c>
      <c r="D145" s="21" t="s">
        <v>77</v>
      </c>
      <c r="E145" s="104"/>
      <c r="F145" s="18">
        <v>31633</v>
      </c>
      <c r="G145" s="19" t="s">
        <v>205</v>
      </c>
      <c r="H145" s="18">
        <v>1</v>
      </c>
      <c r="I145" s="18" t="s">
        <v>168</v>
      </c>
      <c r="J145" s="56"/>
    </row>
    <row r="146" spans="1:10" ht="15.75" customHeight="1" x14ac:dyDescent="0.2">
      <c r="A146" s="18" t="s">
        <v>44</v>
      </c>
      <c r="B146" s="20" t="s">
        <v>20</v>
      </c>
      <c r="C146" s="20" t="s">
        <v>170</v>
      </c>
      <c r="D146" s="21" t="s">
        <v>77</v>
      </c>
      <c r="E146" s="105"/>
      <c r="F146" s="18">
        <v>31634</v>
      </c>
      <c r="G146" s="19" t="s">
        <v>206</v>
      </c>
      <c r="H146" s="18">
        <v>1</v>
      </c>
      <c r="I146" s="18" t="s">
        <v>168</v>
      </c>
      <c r="J146" s="56"/>
    </row>
    <row r="147" spans="1:10" ht="15.75" customHeight="1" x14ac:dyDescent="0.2">
      <c r="A147" s="18" t="s">
        <v>44</v>
      </c>
      <c r="B147" s="20" t="s">
        <v>20</v>
      </c>
      <c r="C147" s="20" t="s">
        <v>76</v>
      </c>
      <c r="D147" s="21" t="s">
        <v>77</v>
      </c>
      <c r="E147" s="103" t="e" vm="17">
        <v>#VALUE!</v>
      </c>
      <c r="F147" s="18">
        <v>339001</v>
      </c>
      <c r="G147" s="19" t="s">
        <v>207</v>
      </c>
      <c r="H147" s="18">
        <v>10</v>
      </c>
      <c r="I147" s="18" t="s">
        <v>48</v>
      </c>
      <c r="J147" s="56"/>
    </row>
    <row r="148" spans="1:10" ht="15.75" customHeight="1" x14ac:dyDescent="0.2">
      <c r="A148" s="18" t="s">
        <v>44</v>
      </c>
      <c r="B148" s="20" t="s">
        <v>20</v>
      </c>
      <c r="C148" s="20" t="s">
        <v>76</v>
      </c>
      <c r="D148" s="21" t="s">
        <v>77</v>
      </c>
      <c r="E148" s="104"/>
      <c r="F148" s="18">
        <v>339002</v>
      </c>
      <c r="G148" s="19" t="s">
        <v>208</v>
      </c>
      <c r="H148" s="18">
        <v>10</v>
      </c>
      <c r="I148" s="18" t="s">
        <v>48</v>
      </c>
      <c r="J148" s="56"/>
    </row>
    <row r="149" spans="1:10" ht="15.75" customHeight="1" x14ac:dyDescent="0.2">
      <c r="A149" s="18" t="s">
        <v>44</v>
      </c>
      <c r="B149" s="20" t="s">
        <v>20</v>
      </c>
      <c r="C149" s="20" t="s">
        <v>76</v>
      </c>
      <c r="D149" s="21" t="s">
        <v>77</v>
      </c>
      <c r="E149" s="104"/>
      <c r="F149" s="18">
        <v>339003</v>
      </c>
      <c r="G149" s="19" t="s">
        <v>209</v>
      </c>
      <c r="H149" s="18">
        <v>10</v>
      </c>
      <c r="I149" s="18" t="s">
        <v>48</v>
      </c>
      <c r="J149" s="56"/>
    </row>
    <row r="150" spans="1:10" ht="15.75" customHeight="1" x14ac:dyDescent="0.2">
      <c r="A150" s="18" t="s">
        <v>44</v>
      </c>
      <c r="B150" s="20" t="s">
        <v>20</v>
      </c>
      <c r="C150" s="20" t="s">
        <v>76</v>
      </c>
      <c r="D150" s="21" t="s">
        <v>77</v>
      </c>
      <c r="E150" s="104"/>
      <c r="F150" s="18">
        <v>339004</v>
      </c>
      <c r="G150" s="19" t="s">
        <v>210</v>
      </c>
      <c r="H150" s="18">
        <v>12</v>
      </c>
      <c r="I150" s="18" t="s">
        <v>48</v>
      </c>
      <c r="J150" s="56"/>
    </row>
    <row r="151" spans="1:10" ht="15.75" customHeight="1" x14ac:dyDescent="0.2">
      <c r="A151" s="18" t="s">
        <v>44</v>
      </c>
      <c r="B151" s="20" t="s">
        <v>20</v>
      </c>
      <c r="C151" s="20" t="s">
        <v>76</v>
      </c>
      <c r="D151" s="21" t="s">
        <v>77</v>
      </c>
      <c r="E151" s="104"/>
      <c r="F151" s="18">
        <v>339005</v>
      </c>
      <c r="G151" s="19" t="s">
        <v>211</v>
      </c>
      <c r="H151" s="18">
        <v>10</v>
      </c>
      <c r="I151" s="18" t="s">
        <v>48</v>
      </c>
      <c r="J151" s="56"/>
    </row>
    <row r="152" spans="1:10" ht="15.75" customHeight="1" x14ac:dyDescent="0.2">
      <c r="A152" s="18" t="s">
        <v>44</v>
      </c>
      <c r="B152" s="20" t="s">
        <v>20</v>
      </c>
      <c r="C152" s="20" t="s">
        <v>76</v>
      </c>
      <c r="D152" s="21" t="s">
        <v>77</v>
      </c>
      <c r="E152" s="104"/>
      <c r="F152" s="18">
        <v>339006</v>
      </c>
      <c r="G152" s="19" t="s">
        <v>212</v>
      </c>
      <c r="H152" s="18">
        <v>5</v>
      </c>
      <c r="I152" s="18" t="s">
        <v>48</v>
      </c>
      <c r="J152" s="56"/>
    </row>
    <row r="153" spans="1:10" ht="15.75" customHeight="1" x14ac:dyDescent="0.2">
      <c r="A153" s="18" t="s">
        <v>44</v>
      </c>
      <c r="B153" s="20" t="s">
        <v>20</v>
      </c>
      <c r="C153" s="20" t="s">
        <v>76</v>
      </c>
      <c r="D153" s="21" t="s">
        <v>77</v>
      </c>
      <c r="E153" s="105"/>
      <c r="F153" s="18">
        <v>339007</v>
      </c>
      <c r="G153" s="19" t="s">
        <v>213</v>
      </c>
      <c r="H153" s="18">
        <v>4</v>
      </c>
      <c r="I153" s="18" t="s">
        <v>48</v>
      </c>
      <c r="J153" s="56"/>
    </row>
    <row r="154" spans="1:10" ht="15.75" customHeight="1" x14ac:dyDescent="0.2">
      <c r="A154" s="18" t="s">
        <v>44</v>
      </c>
      <c r="B154" s="20" t="s">
        <v>20</v>
      </c>
      <c r="C154" s="20" t="s">
        <v>76</v>
      </c>
      <c r="D154" s="21" t="s">
        <v>77</v>
      </c>
      <c r="E154" s="103" t="e" vm="18">
        <v>#VALUE!</v>
      </c>
      <c r="F154" s="18">
        <v>333702</v>
      </c>
      <c r="G154" s="19" t="s">
        <v>214</v>
      </c>
      <c r="H154" s="18">
        <v>10</v>
      </c>
      <c r="I154" s="18" t="s">
        <v>48</v>
      </c>
      <c r="J154" s="56"/>
    </row>
    <row r="155" spans="1:10" ht="15.75" customHeight="1" x14ac:dyDescent="0.2">
      <c r="A155" s="18" t="s">
        <v>44</v>
      </c>
      <c r="B155" s="20" t="s">
        <v>20</v>
      </c>
      <c r="C155" s="20" t="s">
        <v>76</v>
      </c>
      <c r="D155" s="21" t="s">
        <v>77</v>
      </c>
      <c r="E155" s="104"/>
      <c r="F155" s="18">
        <v>333706</v>
      </c>
      <c r="G155" s="19" t="s">
        <v>215</v>
      </c>
      <c r="H155" s="18">
        <v>10</v>
      </c>
      <c r="I155" s="18" t="s">
        <v>48</v>
      </c>
      <c r="J155" s="56"/>
    </row>
    <row r="156" spans="1:10" ht="15.75" customHeight="1" x14ac:dyDescent="0.2">
      <c r="A156" s="18" t="s">
        <v>44</v>
      </c>
      <c r="B156" s="20" t="s">
        <v>20</v>
      </c>
      <c r="C156" s="20" t="s">
        <v>76</v>
      </c>
      <c r="D156" s="21" t="s">
        <v>77</v>
      </c>
      <c r="E156" s="104"/>
      <c r="F156" s="18">
        <v>333703</v>
      </c>
      <c r="G156" s="19" t="s">
        <v>216</v>
      </c>
      <c r="H156" s="18">
        <v>10</v>
      </c>
      <c r="I156" s="18" t="s">
        <v>48</v>
      </c>
      <c r="J156" s="56"/>
    </row>
    <row r="157" spans="1:10" ht="15.75" customHeight="1" x14ac:dyDescent="0.2">
      <c r="A157" s="18" t="s">
        <v>44</v>
      </c>
      <c r="B157" s="20" t="s">
        <v>20</v>
      </c>
      <c r="C157" s="20" t="s">
        <v>76</v>
      </c>
      <c r="D157" s="21" t="s">
        <v>77</v>
      </c>
      <c r="E157" s="104"/>
      <c r="F157" s="18">
        <v>333704</v>
      </c>
      <c r="G157" s="19" t="s">
        <v>217</v>
      </c>
      <c r="H157" s="18">
        <v>10</v>
      </c>
      <c r="I157" s="18" t="s">
        <v>48</v>
      </c>
      <c r="J157" s="56"/>
    </row>
    <row r="158" spans="1:10" ht="15.75" customHeight="1" x14ac:dyDescent="0.2">
      <c r="A158" s="18" t="s">
        <v>44</v>
      </c>
      <c r="B158" s="20" t="s">
        <v>20</v>
      </c>
      <c r="C158" s="20" t="s">
        <v>76</v>
      </c>
      <c r="D158" s="21" t="s">
        <v>77</v>
      </c>
      <c r="E158" s="104"/>
      <c r="F158" s="18">
        <v>333707</v>
      </c>
      <c r="G158" s="19" t="s">
        <v>218</v>
      </c>
      <c r="H158" s="18">
        <v>5</v>
      </c>
      <c r="I158" s="18" t="s">
        <v>48</v>
      </c>
      <c r="J158" s="56"/>
    </row>
    <row r="159" spans="1:10" ht="15.75" customHeight="1" x14ac:dyDescent="0.2">
      <c r="A159" s="18" t="s">
        <v>44</v>
      </c>
      <c r="B159" s="20" t="s">
        <v>20</v>
      </c>
      <c r="C159" s="20" t="s">
        <v>76</v>
      </c>
      <c r="D159" s="21" t="s">
        <v>77</v>
      </c>
      <c r="E159" s="104"/>
      <c r="F159" s="18">
        <v>333708</v>
      </c>
      <c r="G159" s="19" t="s">
        <v>219</v>
      </c>
      <c r="H159" s="18">
        <v>10</v>
      </c>
      <c r="I159" s="18" t="s">
        <v>48</v>
      </c>
      <c r="J159" s="56"/>
    </row>
    <row r="160" spans="1:10" ht="15.75" customHeight="1" x14ac:dyDescent="0.2">
      <c r="A160" s="18" t="s">
        <v>44</v>
      </c>
      <c r="B160" s="20" t="s">
        <v>20</v>
      </c>
      <c r="C160" s="20" t="s">
        <v>76</v>
      </c>
      <c r="D160" s="21" t="s">
        <v>77</v>
      </c>
      <c r="E160" s="105"/>
      <c r="F160" s="18">
        <v>333705</v>
      </c>
      <c r="G160" s="19" t="s">
        <v>220</v>
      </c>
      <c r="H160" s="18">
        <v>10</v>
      </c>
      <c r="I160" s="18" t="s">
        <v>48</v>
      </c>
      <c r="J160" s="56"/>
    </row>
    <row r="161" spans="1:10" ht="15.75" customHeight="1" x14ac:dyDescent="0.2">
      <c r="A161" s="18" t="s">
        <v>44</v>
      </c>
      <c r="B161" s="20" t="s">
        <v>20</v>
      </c>
      <c r="C161" s="20" t="s">
        <v>170</v>
      </c>
      <c r="D161" s="21" t="s">
        <v>77</v>
      </c>
      <c r="E161" s="103" t="e" vm="19">
        <v>#VALUE!</v>
      </c>
      <c r="F161" s="18">
        <v>35003</v>
      </c>
      <c r="G161" s="19" t="s">
        <v>221</v>
      </c>
      <c r="H161" s="18">
        <v>20</v>
      </c>
      <c r="I161" s="18" t="s">
        <v>48</v>
      </c>
      <c r="J161" s="56"/>
    </row>
    <row r="162" spans="1:10" ht="15.75" customHeight="1" x14ac:dyDescent="0.2">
      <c r="A162" s="18" t="s">
        <v>44</v>
      </c>
      <c r="B162" s="20" t="s">
        <v>20</v>
      </c>
      <c r="C162" s="20" t="s">
        <v>170</v>
      </c>
      <c r="D162" s="21" t="s">
        <v>77</v>
      </c>
      <c r="E162" s="104"/>
      <c r="F162" s="18">
        <v>35005</v>
      </c>
      <c r="G162" s="19" t="s">
        <v>222</v>
      </c>
      <c r="H162" s="18">
        <v>20</v>
      </c>
      <c r="I162" s="18" t="s">
        <v>48</v>
      </c>
      <c r="J162" s="56"/>
    </row>
    <row r="163" spans="1:10" ht="15.75" customHeight="1" x14ac:dyDescent="0.2">
      <c r="A163" s="18" t="s">
        <v>44</v>
      </c>
      <c r="B163" s="20" t="s">
        <v>20</v>
      </c>
      <c r="C163" s="20" t="s">
        <v>170</v>
      </c>
      <c r="D163" s="21" t="s">
        <v>77</v>
      </c>
      <c r="E163" s="104"/>
      <c r="F163" s="18">
        <v>35006</v>
      </c>
      <c r="G163" s="19" t="s">
        <v>223</v>
      </c>
      <c r="H163" s="18">
        <v>15</v>
      </c>
      <c r="I163" s="18" t="s">
        <v>48</v>
      </c>
      <c r="J163" s="56"/>
    </row>
    <row r="164" spans="1:10" ht="15.75" customHeight="1" x14ac:dyDescent="0.2">
      <c r="A164" s="18" t="s">
        <v>44</v>
      </c>
      <c r="B164" s="20" t="s">
        <v>20</v>
      </c>
      <c r="C164" s="20" t="s">
        <v>170</v>
      </c>
      <c r="D164" s="21" t="s">
        <v>77</v>
      </c>
      <c r="E164" s="104"/>
      <c r="F164" s="18">
        <v>35007</v>
      </c>
      <c r="G164" s="19" t="s">
        <v>224</v>
      </c>
      <c r="H164" s="18">
        <v>10</v>
      </c>
      <c r="I164" s="18" t="s">
        <v>48</v>
      </c>
      <c r="J164" s="56"/>
    </row>
    <row r="165" spans="1:10" ht="15.75" customHeight="1" x14ac:dyDescent="0.2">
      <c r="A165" s="18" t="s">
        <v>44</v>
      </c>
      <c r="B165" s="20" t="s">
        <v>20</v>
      </c>
      <c r="C165" s="20" t="s">
        <v>170</v>
      </c>
      <c r="D165" s="21" t="s">
        <v>77</v>
      </c>
      <c r="E165" s="104"/>
      <c r="F165" s="18">
        <v>35008</v>
      </c>
      <c r="G165" s="19" t="s">
        <v>225</v>
      </c>
      <c r="H165" s="18">
        <v>10</v>
      </c>
      <c r="I165" s="18" t="s">
        <v>48</v>
      </c>
      <c r="J165" s="56"/>
    </row>
    <row r="166" spans="1:10" ht="15.75" customHeight="1" x14ac:dyDescent="0.2">
      <c r="A166" s="18" t="s">
        <v>44</v>
      </c>
      <c r="B166" s="20" t="s">
        <v>20</v>
      </c>
      <c r="C166" s="20" t="s">
        <v>170</v>
      </c>
      <c r="D166" s="21" t="s">
        <v>77</v>
      </c>
      <c r="E166" s="104"/>
      <c r="F166" s="18">
        <v>35009</v>
      </c>
      <c r="G166" s="19" t="s">
        <v>226</v>
      </c>
      <c r="H166" s="18">
        <v>10</v>
      </c>
      <c r="I166" s="18" t="s">
        <v>48</v>
      </c>
      <c r="J166" s="56"/>
    </row>
    <row r="167" spans="1:10" ht="15.75" customHeight="1" x14ac:dyDescent="0.2">
      <c r="A167" s="18" t="s">
        <v>44</v>
      </c>
      <c r="B167" s="20" t="s">
        <v>20</v>
      </c>
      <c r="C167" s="20" t="s">
        <v>170</v>
      </c>
      <c r="D167" s="21" t="s">
        <v>77</v>
      </c>
      <c r="E167" s="104"/>
      <c r="F167" s="18">
        <v>35010</v>
      </c>
      <c r="G167" s="19" t="s">
        <v>227</v>
      </c>
      <c r="H167" s="18">
        <v>10</v>
      </c>
      <c r="I167" s="18" t="s">
        <v>48</v>
      </c>
      <c r="J167" s="56"/>
    </row>
    <row r="168" spans="1:10" ht="15.75" customHeight="1" x14ac:dyDescent="0.2">
      <c r="A168" s="18" t="s">
        <v>44</v>
      </c>
      <c r="B168" s="20" t="s">
        <v>20</v>
      </c>
      <c r="C168" s="20" t="s">
        <v>170</v>
      </c>
      <c r="D168" s="21" t="s">
        <v>77</v>
      </c>
      <c r="E168" s="104"/>
      <c r="F168" s="18">
        <v>35011</v>
      </c>
      <c r="G168" s="19" t="s">
        <v>228</v>
      </c>
      <c r="H168" s="18">
        <v>10</v>
      </c>
      <c r="I168" s="18" t="s">
        <v>48</v>
      </c>
      <c r="J168" s="56"/>
    </row>
    <row r="169" spans="1:10" ht="15.75" customHeight="1" x14ac:dyDescent="0.2">
      <c r="A169" s="18" t="s">
        <v>44</v>
      </c>
      <c r="B169" s="20" t="s">
        <v>20</v>
      </c>
      <c r="C169" s="20" t="s">
        <v>170</v>
      </c>
      <c r="D169" s="21" t="s">
        <v>77</v>
      </c>
      <c r="E169" s="104"/>
      <c r="F169" s="18">
        <v>35012</v>
      </c>
      <c r="G169" s="19" t="s">
        <v>229</v>
      </c>
      <c r="H169" s="18">
        <v>10</v>
      </c>
      <c r="I169" s="18" t="s">
        <v>48</v>
      </c>
      <c r="J169" s="56"/>
    </row>
    <row r="170" spans="1:10" ht="15.75" customHeight="1" x14ac:dyDescent="0.2">
      <c r="A170" s="18" t="s">
        <v>44</v>
      </c>
      <c r="B170" s="20" t="s">
        <v>20</v>
      </c>
      <c r="C170" s="20" t="s">
        <v>170</v>
      </c>
      <c r="D170" s="21" t="s">
        <v>77</v>
      </c>
      <c r="E170" s="104"/>
      <c r="F170" s="18">
        <v>35013</v>
      </c>
      <c r="G170" s="19" t="s">
        <v>230</v>
      </c>
      <c r="H170" s="18">
        <v>10</v>
      </c>
      <c r="I170" s="18" t="s">
        <v>48</v>
      </c>
      <c r="J170" s="56"/>
    </row>
    <row r="171" spans="1:10" ht="15.75" customHeight="1" x14ac:dyDescent="0.2">
      <c r="A171" s="18" t="s">
        <v>44</v>
      </c>
      <c r="B171" s="20" t="s">
        <v>20</v>
      </c>
      <c r="C171" s="20" t="s">
        <v>170</v>
      </c>
      <c r="D171" s="21" t="s">
        <v>77</v>
      </c>
      <c r="E171" s="104"/>
      <c r="F171" s="18">
        <v>35014</v>
      </c>
      <c r="G171" s="19" t="s">
        <v>231</v>
      </c>
      <c r="H171" s="18">
        <v>1</v>
      </c>
      <c r="I171" s="18" t="s">
        <v>48</v>
      </c>
      <c r="J171" s="56"/>
    </row>
    <row r="172" spans="1:10" ht="15.75" customHeight="1" x14ac:dyDescent="0.2">
      <c r="A172" s="18" t="s">
        <v>44</v>
      </c>
      <c r="B172" s="20" t="s">
        <v>20</v>
      </c>
      <c r="C172" s="20" t="s">
        <v>170</v>
      </c>
      <c r="D172" s="21" t="s">
        <v>77</v>
      </c>
      <c r="E172" s="104"/>
      <c r="F172" s="18">
        <v>35015</v>
      </c>
      <c r="G172" s="19" t="s">
        <v>232</v>
      </c>
      <c r="H172" s="18">
        <v>1</v>
      </c>
      <c r="I172" s="18" t="s">
        <v>48</v>
      </c>
      <c r="J172" s="56"/>
    </row>
    <row r="173" spans="1:10" ht="15.75" customHeight="1" x14ac:dyDescent="0.2">
      <c r="A173" s="18" t="s">
        <v>44</v>
      </c>
      <c r="B173" s="20" t="s">
        <v>20</v>
      </c>
      <c r="C173" s="20" t="s">
        <v>170</v>
      </c>
      <c r="D173" s="21" t="s">
        <v>77</v>
      </c>
      <c r="E173" s="104"/>
      <c r="F173" s="18">
        <v>35016</v>
      </c>
      <c r="G173" s="19" t="s">
        <v>233</v>
      </c>
      <c r="H173" s="18">
        <v>1</v>
      </c>
      <c r="I173" s="18" t="s">
        <v>48</v>
      </c>
      <c r="J173" s="56"/>
    </row>
    <row r="174" spans="1:10" ht="15.75" customHeight="1" x14ac:dyDescent="0.2">
      <c r="A174" s="18" t="s">
        <v>44</v>
      </c>
      <c r="B174" s="20" t="s">
        <v>20</v>
      </c>
      <c r="C174" s="20" t="s">
        <v>170</v>
      </c>
      <c r="D174" s="21" t="s">
        <v>77</v>
      </c>
      <c r="E174" s="104"/>
      <c r="F174" s="18">
        <v>35017</v>
      </c>
      <c r="G174" s="19" t="s">
        <v>234</v>
      </c>
      <c r="H174" s="18">
        <v>1</v>
      </c>
      <c r="I174" s="18" t="s">
        <v>48</v>
      </c>
      <c r="J174" s="56"/>
    </row>
    <row r="175" spans="1:10" ht="15.75" customHeight="1" x14ac:dyDescent="0.2">
      <c r="A175" s="18" t="s">
        <v>44</v>
      </c>
      <c r="B175" s="20" t="s">
        <v>20</v>
      </c>
      <c r="C175" s="20" t="s">
        <v>170</v>
      </c>
      <c r="D175" s="21" t="s">
        <v>77</v>
      </c>
      <c r="E175" s="104"/>
      <c r="F175" s="18">
        <v>35018</v>
      </c>
      <c r="G175" s="19" t="s">
        <v>235</v>
      </c>
      <c r="H175" s="18">
        <v>1</v>
      </c>
      <c r="I175" s="18" t="s">
        <v>48</v>
      </c>
      <c r="J175" s="56"/>
    </row>
    <row r="176" spans="1:10" ht="15.75" customHeight="1" x14ac:dyDescent="0.2">
      <c r="A176" s="18" t="s">
        <v>44</v>
      </c>
      <c r="B176" s="20" t="s">
        <v>20</v>
      </c>
      <c r="C176" s="20" t="s">
        <v>170</v>
      </c>
      <c r="D176" s="21" t="s">
        <v>77</v>
      </c>
      <c r="E176" s="104"/>
      <c r="F176" s="18">
        <v>35019</v>
      </c>
      <c r="G176" s="19" t="s">
        <v>236</v>
      </c>
      <c r="H176" s="18">
        <v>1</v>
      </c>
      <c r="I176" s="18" t="s">
        <v>146</v>
      </c>
      <c r="J176" s="56"/>
    </row>
    <row r="177" spans="1:10" ht="15.75" customHeight="1" x14ac:dyDescent="0.2">
      <c r="A177" s="18" t="s">
        <v>44</v>
      </c>
      <c r="B177" s="20" t="s">
        <v>20</v>
      </c>
      <c r="C177" s="20" t="s">
        <v>170</v>
      </c>
      <c r="D177" s="21" t="s">
        <v>77</v>
      </c>
      <c r="E177" s="104"/>
      <c r="F177" s="18">
        <v>35020</v>
      </c>
      <c r="G177" s="19" t="s">
        <v>237</v>
      </c>
      <c r="H177" s="18">
        <v>1</v>
      </c>
      <c r="I177" s="18" t="s">
        <v>48</v>
      </c>
      <c r="J177" s="56"/>
    </row>
    <row r="178" spans="1:10" ht="15.75" customHeight="1" x14ac:dyDescent="0.2">
      <c r="A178" s="18" t="s">
        <v>44</v>
      </c>
      <c r="B178" s="20" t="s">
        <v>20</v>
      </c>
      <c r="C178" s="20" t="s">
        <v>170</v>
      </c>
      <c r="D178" s="21" t="s">
        <v>77</v>
      </c>
      <c r="E178" s="104"/>
      <c r="F178" s="18">
        <v>35021</v>
      </c>
      <c r="G178" s="19" t="s">
        <v>238</v>
      </c>
      <c r="H178" s="18">
        <v>1</v>
      </c>
      <c r="I178" s="18" t="s">
        <v>48</v>
      </c>
      <c r="J178" s="56"/>
    </row>
    <row r="179" spans="1:10" ht="15.75" customHeight="1" x14ac:dyDescent="0.2">
      <c r="A179" s="18" t="s">
        <v>44</v>
      </c>
      <c r="B179" s="20" t="s">
        <v>20</v>
      </c>
      <c r="C179" s="20" t="s">
        <v>170</v>
      </c>
      <c r="D179" s="21" t="s">
        <v>77</v>
      </c>
      <c r="E179" s="104"/>
      <c r="F179" s="18">
        <v>35022</v>
      </c>
      <c r="G179" s="19" t="s">
        <v>239</v>
      </c>
      <c r="H179" s="18">
        <v>1</v>
      </c>
      <c r="I179" s="18" t="s">
        <v>48</v>
      </c>
      <c r="J179" s="56"/>
    </row>
    <row r="180" spans="1:10" ht="15.75" customHeight="1" x14ac:dyDescent="0.2">
      <c r="A180" s="18" t="s">
        <v>44</v>
      </c>
      <c r="B180" s="20" t="s">
        <v>20</v>
      </c>
      <c r="C180" s="20" t="s">
        <v>170</v>
      </c>
      <c r="D180" s="21" t="s">
        <v>77</v>
      </c>
      <c r="E180" s="104"/>
      <c r="F180" s="18">
        <v>35023</v>
      </c>
      <c r="G180" s="19" t="s">
        <v>240</v>
      </c>
      <c r="H180" s="18">
        <v>1</v>
      </c>
      <c r="I180" s="18" t="s">
        <v>48</v>
      </c>
      <c r="J180" s="56"/>
    </row>
    <row r="181" spans="1:10" ht="15.75" customHeight="1" x14ac:dyDescent="0.2">
      <c r="A181" s="18" t="s">
        <v>44</v>
      </c>
      <c r="B181" s="20" t="s">
        <v>20</v>
      </c>
      <c r="C181" s="20" t="s">
        <v>170</v>
      </c>
      <c r="D181" s="21" t="s">
        <v>77</v>
      </c>
      <c r="E181" s="104"/>
      <c r="F181" s="18">
        <v>35024</v>
      </c>
      <c r="G181" s="19" t="s">
        <v>241</v>
      </c>
      <c r="H181" s="18">
        <v>1</v>
      </c>
      <c r="I181" s="18" t="s">
        <v>48</v>
      </c>
      <c r="J181" s="56"/>
    </row>
    <row r="182" spans="1:10" ht="15.75" customHeight="1" x14ac:dyDescent="0.2">
      <c r="A182" s="18" t="s">
        <v>44</v>
      </c>
      <c r="B182" s="20" t="s">
        <v>20</v>
      </c>
      <c r="C182" s="20" t="s">
        <v>170</v>
      </c>
      <c r="D182" s="21" t="s">
        <v>77</v>
      </c>
      <c r="E182" s="104"/>
      <c r="F182" s="18">
        <v>35025</v>
      </c>
      <c r="G182" s="19" t="s">
        <v>242</v>
      </c>
      <c r="H182" s="18">
        <v>1</v>
      </c>
      <c r="I182" s="18" t="s">
        <v>48</v>
      </c>
      <c r="J182" s="56"/>
    </row>
    <row r="183" spans="1:10" ht="15.75" customHeight="1" x14ac:dyDescent="0.2">
      <c r="A183" s="18" t="s">
        <v>44</v>
      </c>
      <c r="B183" s="20" t="s">
        <v>20</v>
      </c>
      <c r="C183" s="20" t="s">
        <v>170</v>
      </c>
      <c r="D183" s="21" t="s">
        <v>77</v>
      </c>
      <c r="E183" s="104"/>
      <c r="F183" s="18">
        <v>35026</v>
      </c>
      <c r="G183" s="19" t="s">
        <v>243</v>
      </c>
      <c r="H183" s="18">
        <v>1</v>
      </c>
      <c r="I183" s="18" t="s">
        <v>48</v>
      </c>
      <c r="J183" s="56"/>
    </row>
    <row r="184" spans="1:10" ht="15.75" customHeight="1" x14ac:dyDescent="0.2">
      <c r="A184" s="18" t="s">
        <v>44</v>
      </c>
      <c r="B184" s="20" t="s">
        <v>20</v>
      </c>
      <c r="C184" s="20" t="s">
        <v>170</v>
      </c>
      <c r="D184" s="21" t="s">
        <v>77</v>
      </c>
      <c r="E184" s="104"/>
      <c r="F184" s="18">
        <v>35027</v>
      </c>
      <c r="G184" s="19" t="s">
        <v>244</v>
      </c>
      <c r="H184" s="18">
        <v>1</v>
      </c>
      <c r="I184" s="18" t="s">
        <v>48</v>
      </c>
      <c r="J184" s="56"/>
    </row>
    <row r="185" spans="1:10" ht="15.75" customHeight="1" x14ac:dyDescent="0.2">
      <c r="A185" s="18" t="s">
        <v>44</v>
      </c>
      <c r="B185" s="20" t="s">
        <v>20</v>
      </c>
      <c r="C185" s="20" t="s">
        <v>170</v>
      </c>
      <c r="D185" s="21" t="s">
        <v>77</v>
      </c>
      <c r="E185" s="104"/>
      <c r="F185" s="18">
        <v>35028</v>
      </c>
      <c r="G185" s="19" t="s">
        <v>245</v>
      </c>
      <c r="H185" s="18">
        <v>1</v>
      </c>
      <c r="I185" s="18" t="s">
        <v>48</v>
      </c>
      <c r="J185" s="56"/>
    </row>
    <row r="186" spans="1:10" ht="15.75" customHeight="1" x14ac:dyDescent="0.2">
      <c r="A186" s="18" t="s">
        <v>44</v>
      </c>
      <c r="B186" s="20" t="s">
        <v>20</v>
      </c>
      <c r="C186" s="20" t="s">
        <v>170</v>
      </c>
      <c r="D186" s="21" t="s">
        <v>77</v>
      </c>
      <c r="E186" s="104"/>
      <c r="F186" s="18">
        <v>35029</v>
      </c>
      <c r="G186" s="19" t="s">
        <v>246</v>
      </c>
      <c r="H186" s="18">
        <v>1</v>
      </c>
      <c r="I186" s="18" t="s">
        <v>48</v>
      </c>
      <c r="J186" s="56"/>
    </row>
    <row r="187" spans="1:10" ht="15.75" customHeight="1" x14ac:dyDescent="0.2">
      <c r="A187" s="18" t="s">
        <v>44</v>
      </c>
      <c r="B187" s="20" t="s">
        <v>20</v>
      </c>
      <c r="C187" s="20" t="s">
        <v>170</v>
      </c>
      <c r="D187" s="21" t="s">
        <v>77</v>
      </c>
      <c r="E187" s="104"/>
      <c r="F187" s="18">
        <v>35030</v>
      </c>
      <c r="G187" s="19" t="s">
        <v>247</v>
      </c>
      <c r="H187" s="18">
        <v>1</v>
      </c>
      <c r="I187" s="18" t="s">
        <v>48</v>
      </c>
      <c r="J187" s="56"/>
    </row>
    <row r="188" spans="1:10" ht="15.75" customHeight="1" x14ac:dyDescent="0.2">
      <c r="A188" s="18" t="s">
        <v>44</v>
      </c>
      <c r="B188" s="20" t="s">
        <v>20</v>
      </c>
      <c r="C188" s="20" t="s">
        <v>170</v>
      </c>
      <c r="D188" s="21" t="s">
        <v>77</v>
      </c>
      <c r="E188" s="105"/>
      <c r="F188" s="18">
        <v>35031</v>
      </c>
      <c r="G188" s="19" t="s">
        <v>248</v>
      </c>
      <c r="H188" s="18">
        <v>1</v>
      </c>
      <c r="I188" s="18" t="s">
        <v>48</v>
      </c>
      <c r="J188" s="56"/>
    </row>
    <row r="189" spans="1:10" ht="15.75" customHeight="1" x14ac:dyDescent="0.2">
      <c r="A189" s="18" t="s">
        <v>44</v>
      </c>
      <c r="B189" s="20" t="s">
        <v>20</v>
      </c>
      <c r="C189" s="20" t="s">
        <v>76</v>
      </c>
      <c r="D189" s="21" t="s">
        <v>77</v>
      </c>
      <c r="E189" s="103" t="e" vm="20">
        <v>#VALUE!</v>
      </c>
      <c r="F189" s="18">
        <v>336001</v>
      </c>
      <c r="G189" s="19" t="s">
        <v>249</v>
      </c>
      <c r="H189" s="18">
        <v>10</v>
      </c>
      <c r="I189" s="18" t="s">
        <v>48</v>
      </c>
      <c r="J189" s="56"/>
    </row>
    <row r="190" spans="1:10" ht="15.75" customHeight="1" x14ac:dyDescent="0.2">
      <c r="A190" s="18" t="s">
        <v>44</v>
      </c>
      <c r="B190" s="20" t="s">
        <v>20</v>
      </c>
      <c r="C190" s="20" t="s">
        <v>76</v>
      </c>
      <c r="D190" s="21" t="s">
        <v>77</v>
      </c>
      <c r="E190" s="104"/>
      <c r="F190" s="18">
        <v>336002</v>
      </c>
      <c r="G190" s="19" t="s">
        <v>250</v>
      </c>
      <c r="H190" s="18">
        <v>10</v>
      </c>
      <c r="I190" s="18" t="s">
        <v>48</v>
      </c>
      <c r="J190" s="56"/>
    </row>
    <row r="191" spans="1:10" ht="15.75" customHeight="1" x14ac:dyDescent="0.2">
      <c r="A191" s="18" t="s">
        <v>44</v>
      </c>
      <c r="B191" s="20" t="s">
        <v>20</v>
      </c>
      <c r="C191" s="20" t="s">
        <v>76</v>
      </c>
      <c r="D191" s="21" t="s">
        <v>77</v>
      </c>
      <c r="E191" s="104"/>
      <c r="F191" s="18">
        <v>336003</v>
      </c>
      <c r="G191" s="19" t="s">
        <v>251</v>
      </c>
      <c r="H191" s="18">
        <v>6</v>
      </c>
      <c r="I191" s="18" t="s">
        <v>48</v>
      </c>
      <c r="J191" s="56"/>
    </row>
    <row r="192" spans="1:10" ht="15.75" customHeight="1" x14ac:dyDescent="0.2">
      <c r="A192" s="18" t="s">
        <v>44</v>
      </c>
      <c r="B192" s="20" t="s">
        <v>20</v>
      </c>
      <c r="C192" s="20" t="s">
        <v>76</v>
      </c>
      <c r="D192" s="21" t="s">
        <v>77</v>
      </c>
      <c r="E192" s="104"/>
      <c r="F192" s="18">
        <v>336004</v>
      </c>
      <c r="G192" s="19" t="s">
        <v>252</v>
      </c>
      <c r="H192" s="18">
        <v>6</v>
      </c>
      <c r="I192" s="18" t="s">
        <v>48</v>
      </c>
      <c r="J192" s="56"/>
    </row>
    <row r="193" spans="1:10" ht="15.75" customHeight="1" x14ac:dyDescent="0.2">
      <c r="A193" s="18" t="s">
        <v>44</v>
      </c>
      <c r="B193" s="20" t="s">
        <v>20</v>
      </c>
      <c r="C193" s="20" t="s">
        <v>76</v>
      </c>
      <c r="D193" s="21" t="s">
        <v>77</v>
      </c>
      <c r="E193" s="104"/>
      <c r="F193" s="18">
        <v>336005</v>
      </c>
      <c r="G193" s="19" t="s">
        <v>253</v>
      </c>
      <c r="H193" s="18">
        <v>5</v>
      </c>
      <c r="I193" s="18" t="s">
        <v>48</v>
      </c>
      <c r="J193" s="56"/>
    </row>
    <row r="194" spans="1:10" ht="15.75" customHeight="1" x14ac:dyDescent="0.2">
      <c r="A194" s="18" t="s">
        <v>44</v>
      </c>
      <c r="B194" s="20" t="s">
        <v>20</v>
      </c>
      <c r="C194" s="20" t="s">
        <v>76</v>
      </c>
      <c r="D194" s="21" t="s">
        <v>77</v>
      </c>
      <c r="E194" s="105"/>
      <c r="F194" s="18">
        <v>336006</v>
      </c>
      <c r="G194" s="19" t="s">
        <v>254</v>
      </c>
      <c r="H194" s="18">
        <v>4</v>
      </c>
      <c r="I194" s="18" t="s">
        <v>48</v>
      </c>
      <c r="J194" s="56"/>
    </row>
    <row r="195" spans="1:10" ht="15.75" customHeight="1" x14ac:dyDescent="0.2">
      <c r="A195" s="18" t="s">
        <v>44</v>
      </c>
      <c r="B195" s="20" t="s">
        <v>20</v>
      </c>
      <c r="C195" s="20" t="s">
        <v>76</v>
      </c>
      <c r="D195" s="21" t="s">
        <v>77</v>
      </c>
      <c r="E195" s="103" t="e" vm="21">
        <v>#VALUE!</v>
      </c>
      <c r="F195" s="18">
        <v>332901</v>
      </c>
      <c r="G195" s="19" t="s">
        <v>255</v>
      </c>
      <c r="H195" s="18">
        <v>10</v>
      </c>
      <c r="I195" s="18" t="s">
        <v>48</v>
      </c>
      <c r="J195" s="56"/>
    </row>
    <row r="196" spans="1:10" ht="15.75" customHeight="1" x14ac:dyDescent="0.2">
      <c r="A196" s="18" t="s">
        <v>44</v>
      </c>
      <c r="B196" s="20" t="s">
        <v>20</v>
      </c>
      <c r="C196" s="20" t="s">
        <v>76</v>
      </c>
      <c r="D196" s="21" t="s">
        <v>77</v>
      </c>
      <c r="E196" s="104"/>
      <c r="F196" s="18">
        <v>332902</v>
      </c>
      <c r="G196" s="19" t="s">
        <v>256</v>
      </c>
      <c r="H196" s="18">
        <v>9</v>
      </c>
      <c r="I196" s="18" t="s">
        <v>48</v>
      </c>
      <c r="J196" s="56"/>
    </row>
    <row r="197" spans="1:10" ht="15.75" customHeight="1" x14ac:dyDescent="0.2">
      <c r="A197" s="18" t="s">
        <v>44</v>
      </c>
      <c r="B197" s="20" t="s">
        <v>20</v>
      </c>
      <c r="C197" s="20" t="s">
        <v>76</v>
      </c>
      <c r="D197" s="21" t="s">
        <v>77</v>
      </c>
      <c r="E197" s="104"/>
      <c r="F197" s="18">
        <v>332903</v>
      </c>
      <c r="G197" s="19" t="s">
        <v>257</v>
      </c>
      <c r="H197" s="18">
        <v>6</v>
      </c>
      <c r="I197" s="18" t="s">
        <v>48</v>
      </c>
      <c r="J197" s="56"/>
    </row>
    <row r="198" spans="1:10" ht="15.75" customHeight="1" x14ac:dyDescent="0.2">
      <c r="A198" s="18" t="s">
        <v>44</v>
      </c>
      <c r="B198" s="20" t="s">
        <v>20</v>
      </c>
      <c r="C198" s="20" t="s">
        <v>76</v>
      </c>
      <c r="D198" s="21" t="s">
        <v>77</v>
      </c>
      <c r="E198" s="104"/>
      <c r="F198" s="18">
        <v>332904</v>
      </c>
      <c r="G198" s="19" t="s">
        <v>258</v>
      </c>
      <c r="H198" s="18">
        <v>4</v>
      </c>
      <c r="I198" s="18" t="s">
        <v>48</v>
      </c>
      <c r="J198" s="56"/>
    </row>
    <row r="199" spans="1:10" ht="15.75" customHeight="1" x14ac:dyDescent="0.2">
      <c r="A199" s="18" t="s">
        <v>44</v>
      </c>
      <c r="B199" s="20" t="s">
        <v>20</v>
      </c>
      <c r="C199" s="20" t="s">
        <v>76</v>
      </c>
      <c r="D199" s="21" t="s">
        <v>77</v>
      </c>
      <c r="E199" s="104"/>
      <c r="F199" s="18">
        <v>332905</v>
      </c>
      <c r="G199" s="19" t="s">
        <v>259</v>
      </c>
      <c r="H199" s="18">
        <v>4</v>
      </c>
      <c r="I199" s="18" t="s">
        <v>48</v>
      </c>
      <c r="J199" s="56"/>
    </row>
    <row r="200" spans="1:10" ht="15.75" customHeight="1" x14ac:dyDescent="0.2">
      <c r="A200" s="18" t="s">
        <v>44</v>
      </c>
      <c r="B200" s="20" t="s">
        <v>20</v>
      </c>
      <c r="C200" s="20" t="s">
        <v>76</v>
      </c>
      <c r="D200" s="21" t="s">
        <v>77</v>
      </c>
      <c r="E200" s="105"/>
      <c r="F200" s="18">
        <v>332906</v>
      </c>
      <c r="G200" s="19" t="s">
        <v>260</v>
      </c>
      <c r="H200" s="18">
        <v>1</v>
      </c>
      <c r="I200" s="18" t="s">
        <v>48</v>
      </c>
      <c r="J200" s="56"/>
    </row>
    <row r="201" spans="1:10" ht="15.75" customHeight="1" x14ac:dyDescent="0.2">
      <c r="A201" s="18" t="s">
        <v>44</v>
      </c>
      <c r="B201" s="20" t="s">
        <v>20</v>
      </c>
      <c r="C201" s="20" t="s">
        <v>76</v>
      </c>
      <c r="D201" s="21" t="s">
        <v>77</v>
      </c>
      <c r="E201" s="103" t="e" vm="22">
        <v>#VALUE!</v>
      </c>
      <c r="F201" s="18">
        <v>332801</v>
      </c>
      <c r="G201" s="19" t="s">
        <v>261</v>
      </c>
      <c r="H201" s="18">
        <v>10</v>
      </c>
      <c r="I201" s="18" t="s">
        <v>48</v>
      </c>
      <c r="J201" s="56"/>
    </row>
    <row r="202" spans="1:10" ht="15.75" customHeight="1" x14ac:dyDescent="0.2">
      <c r="A202" s="18" t="s">
        <v>44</v>
      </c>
      <c r="B202" s="20" t="s">
        <v>20</v>
      </c>
      <c r="C202" s="20" t="s">
        <v>76</v>
      </c>
      <c r="D202" s="21" t="s">
        <v>77</v>
      </c>
      <c r="E202" s="104"/>
      <c r="F202" s="18">
        <v>332802</v>
      </c>
      <c r="G202" s="19" t="s">
        <v>262</v>
      </c>
      <c r="H202" s="18">
        <v>10</v>
      </c>
      <c r="I202" s="18" t="s">
        <v>48</v>
      </c>
      <c r="J202" s="56"/>
    </row>
    <row r="203" spans="1:10" ht="15.75" customHeight="1" x14ac:dyDescent="0.2">
      <c r="A203" s="18" t="s">
        <v>44</v>
      </c>
      <c r="B203" s="20" t="s">
        <v>20</v>
      </c>
      <c r="C203" s="20" t="s">
        <v>76</v>
      </c>
      <c r="D203" s="21" t="s">
        <v>77</v>
      </c>
      <c r="E203" s="104"/>
      <c r="F203" s="18">
        <v>332803</v>
      </c>
      <c r="G203" s="19" t="s">
        <v>263</v>
      </c>
      <c r="H203" s="18">
        <v>10</v>
      </c>
      <c r="I203" s="18" t="s">
        <v>48</v>
      </c>
      <c r="J203" s="56"/>
    </row>
    <row r="204" spans="1:10" ht="15.75" customHeight="1" x14ac:dyDescent="0.2">
      <c r="A204" s="18" t="s">
        <v>44</v>
      </c>
      <c r="B204" s="20" t="s">
        <v>20</v>
      </c>
      <c r="C204" s="20" t="s">
        <v>76</v>
      </c>
      <c r="D204" s="21" t="s">
        <v>77</v>
      </c>
      <c r="E204" s="104"/>
      <c r="F204" s="18">
        <v>332804</v>
      </c>
      <c r="G204" s="19" t="s">
        <v>264</v>
      </c>
      <c r="H204" s="18">
        <v>10</v>
      </c>
      <c r="I204" s="18" t="s">
        <v>48</v>
      </c>
      <c r="J204" s="56"/>
    </row>
    <row r="205" spans="1:10" ht="15.75" customHeight="1" x14ac:dyDescent="0.2">
      <c r="A205" s="18" t="s">
        <v>44</v>
      </c>
      <c r="B205" s="20" t="s">
        <v>20</v>
      </c>
      <c r="C205" s="20" t="s">
        <v>76</v>
      </c>
      <c r="D205" s="21" t="s">
        <v>77</v>
      </c>
      <c r="E205" s="104"/>
      <c r="F205" s="18">
        <v>332805</v>
      </c>
      <c r="G205" s="19" t="s">
        <v>265</v>
      </c>
      <c r="H205" s="18">
        <v>10</v>
      </c>
      <c r="I205" s="18" t="s">
        <v>48</v>
      </c>
      <c r="J205" s="56"/>
    </row>
    <row r="206" spans="1:10" ht="15.75" customHeight="1" x14ac:dyDescent="0.2">
      <c r="A206" s="18" t="s">
        <v>44</v>
      </c>
      <c r="B206" s="20" t="s">
        <v>20</v>
      </c>
      <c r="C206" s="20" t="s">
        <v>76</v>
      </c>
      <c r="D206" s="21" t="s">
        <v>77</v>
      </c>
      <c r="E206" s="105"/>
      <c r="F206" s="18">
        <v>332806</v>
      </c>
      <c r="G206" s="19" t="s">
        <v>266</v>
      </c>
      <c r="H206" s="18">
        <v>1</v>
      </c>
      <c r="I206" s="18" t="s">
        <v>48</v>
      </c>
      <c r="J206" s="56"/>
    </row>
    <row r="207" spans="1:10" ht="15.75" customHeight="1" x14ac:dyDescent="0.2">
      <c r="A207" s="18" t="s">
        <v>44</v>
      </c>
      <c r="B207" s="20" t="s">
        <v>20</v>
      </c>
      <c r="C207" s="20" t="s">
        <v>76</v>
      </c>
      <c r="D207" s="21" t="s">
        <v>77</v>
      </c>
      <c r="E207" s="103" t="e" vm="23">
        <v>#VALUE!</v>
      </c>
      <c r="F207" s="18">
        <v>332602</v>
      </c>
      <c r="G207" s="19" t="s">
        <v>267</v>
      </c>
      <c r="H207" s="18">
        <v>30</v>
      </c>
      <c r="I207" s="18" t="s">
        <v>48</v>
      </c>
      <c r="J207" s="56"/>
    </row>
    <row r="208" spans="1:10" ht="15.75" customHeight="1" x14ac:dyDescent="0.2">
      <c r="A208" s="18" t="s">
        <v>44</v>
      </c>
      <c r="B208" s="20" t="s">
        <v>20</v>
      </c>
      <c r="C208" s="20" t="s">
        <v>76</v>
      </c>
      <c r="D208" s="21" t="s">
        <v>77</v>
      </c>
      <c r="E208" s="104"/>
      <c r="F208" s="18">
        <v>332615</v>
      </c>
      <c r="G208" s="19" t="s">
        <v>268</v>
      </c>
      <c r="H208" s="18">
        <v>20</v>
      </c>
      <c r="I208" s="18" t="s">
        <v>48</v>
      </c>
      <c r="J208" s="56"/>
    </row>
    <row r="209" spans="1:10" ht="15.75" customHeight="1" x14ac:dyDescent="0.2">
      <c r="A209" s="18" t="s">
        <v>44</v>
      </c>
      <c r="B209" s="20" t="s">
        <v>20</v>
      </c>
      <c r="C209" s="20" t="s">
        <v>76</v>
      </c>
      <c r="D209" s="21" t="s">
        <v>77</v>
      </c>
      <c r="E209" s="104"/>
      <c r="F209" s="18">
        <v>332603</v>
      </c>
      <c r="G209" s="19" t="s">
        <v>269</v>
      </c>
      <c r="H209" s="18">
        <v>25</v>
      </c>
      <c r="I209" s="18" t="s">
        <v>48</v>
      </c>
      <c r="J209" s="56"/>
    </row>
    <row r="210" spans="1:10" ht="15.75" customHeight="1" x14ac:dyDescent="0.2">
      <c r="A210" s="18" t="s">
        <v>44</v>
      </c>
      <c r="B210" s="20" t="s">
        <v>20</v>
      </c>
      <c r="C210" s="20" t="s">
        <v>76</v>
      </c>
      <c r="D210" s="21" t="s">
        <v>77</v>
      </c>
      <c r="E210" s="104"/>
      <c r="F210" s="18">
        <v>332604</v>
      </c>
      <c r="G210" s="19" t="s">
        <v>270</v>
      </c>
      <c r="H210" s="18">
        <v>20</v>
      </c>
      <c r="I210" s="18" t="s">
        <v>48</v>
      </c>
      <c r="J210" s="56"/>
    </row>
    <row r="211" spans="1:10" ht="15.75" customHeight="1" x14ac:dyDescent="0.2">
      <c r="A211" s="18" t="s">
        <v>44</v>
      </c>
      <c r="B211" s="20" t="s">
        <v>20</v>
      </c>
      <c r="C211" s="20" t="s">
        <v>76</v>
      </c>
      <c r="D211" s="21" t="s">
        <v>77</v>
      </c>
      <c r="E211" s="104"/>
      <c r="F211" s="18">
        <v>332606</v>
      </c>
      <c r="G211" s="19" t="s">
        <v>271</v>
      </c>
      <c r="H211" s="18">
        <v>10</v>
      </c>
      <c r="I211" s="18" t="s">
        <v>48</v>
      </c>
      <c r="J211" s="56"/>
    </row>
    <row r="212" spans="1:10" ht="15.75" customHeight="1" x14ac:dyDescent="0.2">
      <c r="A212" s="18" t="s">
        <v>44</v>
      </c>
      <c r="B212" s="20" t="s">
        <v>20</v>
      </c>
      <c r="C212" s="20" t="s">
        <v>76</v>
      </c>
      <c r="D212" s="21" t="s">
        <v>77</v>
      </c>
      <c r="E212" s="104"/>
      <c r="F212" s="18">
        <v>332607</v>
      </c>
      <c r="G212" s="19" t="s">
        <v>272</v>
      </c>
      <c r="H212" s="18">
        <v>10</v>
      </c>
      <c r="I212" s="18" t="s">
        <v>48</v>
      </c>
      <c r="J212" s="56"/>
    </row>
    <row r="213" spans="1:10" ht="15.75" customHeight="1" x14ac:dyDescent="0.2">
      <c r="A213" s="18" t="s">
        <v>44</v>
      </c>
      <c r="B213" s="20" t="s">
        <v>20</v>
      </c>
      <c r="C213" s="20" t="s">
        <v>76</v>
      </c>
      <c r="D213" s="21" t="s">
        <v>77</v>
      </c>
      <c r="E213" s="104"/>
      <c r="F213" s="18">
        <v>332605</v>
      </c>
      <c r="G213" s="19" t="s">
        <v>273</v>
      </c>
      <c r="H213" s="18">
        <v>6</v>
      </c>
      <c r="I213" s="18" t="s">
        <v>48</v>
      </c>
      <c r="J213" s="56"/>
    </row>
    <row r="214" spans="1:10" ht="15.75" customHeight="1" x14ac:dyDescent="0.2">
      <c r="A214" s="18" t="s">
        <v>44</v>
      </c>
      <c r="B214" s="20" t="s">
        <v>20</v>
      </c>
      <c r="C214" s="20" t="s">
        <v>76</v>
      </c>
      <c r="D214" s="21" t="s">
        <v>77</v>
      </c>
      <c r="E214" s="104"/>
      <c r="F214" s="18">
        <v>332608</v>
      </c>
      <c r="G214" s="19" t="s">
        <v>274</v>
      </c>
      <c r="H214" s="18">
        <v>5</v>
      </c>
      <c r="I214" s="18" t="s">
        <v>48</v>
      </c>
      <c r="J214" s="56"/>
    </row>
    <row r="215" spans="1:10" ht="15.75" customHeight="1" x14ac:dyDescent="0.2">
      <c r="A215" s="18" t="s">
        <v>44</v>
      </c>
      <c r="B215" s="20" t="s">
        <v>20</v>
      </c>
      <c r="C215" s="20" t="s">
        <v>76</v>
      </c>
      <c r="D215" s="21" t="s">
        <v>77</v>
      </c>
      <c r="E215" s="104"/>
      <c r="F215" s="18">
        <v>332609</v>
      </c>
      <c r="G215" s="19" t="s">
        <v>275</v>
      </c>
      <c r="H215" s="18">
        <v>5</v>
      </c>
      <c r="I215" s="18" t="s">
        <v>48</v>
      </c>
      <c r="J215" s="56"/>
    </row>
    <row r="216" spans="1:10" ht="15.75" customHeight="1" x14ac:dyDescent="0.2">
      <c r="A216" s="18" t="s">
        <v>44</v>
      </c>
      <c r="B216" s="20" t="s">
        <v>20</v>
      </c>
      <c r="C216" s="20" t="s">
        <v>76</v>
      </c>
      <c r="D216" s="21" t="s">
        <v>77</v>
      </c>
      <c r="E216" s="104"/>
      <c r="F216" s="18">
        <v>332610</v>
      </c>
      <c r="G216" s="19" t="s">
        <v>276</v>
      </c>
      <c r="H216" s="18">
        <v>1</v>
      </c>
      <c r="I216" s="18" t="s">
        <v>48</v>
      </c>
      <c r="J216" s="56"/>
    </row>
    <row r="217" spans="1:10" ht="15.75" customHeight="1" x14ac:dyDescent="0.2">
      <c r="A217" s="18" t="s">
        <v>44</v>
      </c>
      <c r="B217" s="20" t="s">
        <v>20</v>
      </c>
      <c r="C217" s="20" t="s">
        <v>76</v>
      </c>
      <c r="D217" s="21" t="s">
        <v>77</v>
      </c>
      <c r="E217" s="104"/>
      <c r="F217" s="18">
        <v>332611</v>
      </c>
      <c r="G217" s="19" t="s">
        <v>277</v>
      </c>
      <c r="H217" s="18">
        <v>1</v>
      </c>
      <c r="I217" s="18" t="s">
        <v>48</v>
      </c>
      <c r="J217" s="56"/>
    </row>
    <row r="218" spans="1:10" ht="15.75" customHeight="1" x14ac:dyDescent="0.2">
      <c r="A218" s="18" t="s">
        <v>44</v>
      </c>
      <c r="B218" s="20" t="s">
        <v>20</v>
      </c>
      <c r="C218" s="20" t="s">
        <v>76</v>
      </c>
      <c r="D218" s="21" t="s">
        <v>77</v>
      </c>
      <c r="E218" s="104"/>
      <c r="F218" s="18">
        <v>332612</v>
      </c>
      <c r="G218" s="19" t="s">
        <v>278</v>
      </c>
      <c r="H218" s="18">
        <v>1</v>
      </c>
      <c r="I218" s="18" t="s">
        <v>48</v>
      </c>
      <c r="J218" s="56"/>
    </row>
    <row r="219" spans="1:10" ht="15.75" customHeight="1" x14ac:dyDescent="0.2">
      <c r="A219" s="18" t="s">
        <v>44</v>
      </c>
      <c r="B219" s="20" t="s">
        <v>20</v>
      </c>
      <c r="C219" s="20" t="s">
        <v>76</v>
      </c>
      <c r="D219" s="21" t="s">
        <v>77</v>
      </c>
      <c r="E219" s="104"/>
      <c r="F219" s="18">
        <v>332613</v>
      </c>
      <c r="G219" s="19" t="s">
        <v>279</v>
      </c>
      <c r="H219" s="18">
        <v>1</v>
      </c>
      <c r="I219" s="18" t="s">
        <v>168</v>
      </c>
      <c r="J219" s="56"/>
    </row>
    <row r="220" spans="1:10" ht="15.75" customHeight="1" x14ac:dyDescent="0.2">
      <c r="A220" s="18" t="s">
        <v>44</v>
      </c>
      <c r="B220" s="20" t="s">
        <v>20</v>
      </c>
      <c r="C220" s="20" t="s">
        <v>170</v>
      </c>
      <c r="D220" s="21" t="s">
        <v>77</v>
      </c>
      <c r="E220" s="105"/>
      <c r="F220" s="18">
        <v>32614</v>
      </c>
      <c r="G220" s="19" t="s">
        <v>280</v>
      </c>
      <c r="H220" s="18">
        <v>1</v>
      </c>
      <c r="I220" s="18" t="s">
        <v>168</v>
      </c>
      <c r="J220" s="56"/>
    </row>
    <row r="221" spans="1:10" ht="15.75" customHeight="1" x14ac:dyDescent="0.2">
      <c r="A221" s="18" t="s">
        <v>44</v>
      </c>
      <c r="B221" s="20" t="s">
        <v>20</v>
      </c>
      <c r="C221" s="20" t="s">
        <v>76</v>
      </c>
      <c r="D221" s="21" t="s">
        <v>77</v>
      </c>
      <c r="E221" s="103" t="e" vm="24">
        <v>#VALUE!</v>
      </c>
      <c r="F221" s="18">
        <v>332502</v>
      </c>
      <c r="G221" s="19" t="s">
        <v>281</v>
      </c>
      <c r="H221" s="18">
        <v>20</v>
      </c>
      <c r="I221" s="18" t="s">
        <v>48</v>
      </c>
      <c r="J221" s="56"/>
    </row>
    <row r="222" spans="1:10" ht="15.75" customHeight="1" x14ac:dyDescent="0.2">
      <c r="A222" s="18" t="s">
        <v>44</v>
      </c>
      <c r="B222" s="20" t="s">
        <v>20</v>
      </c>
      <c r="C222" s="20" t="s">
        <v>76</v>
      </c>
      <c r="D222" s="21" t="s">
        <v>77</v>
      </c>
      <c r="E222" s="104"/>
      <c r="F222" s="18">
        <v>332516</v>
      </c>
      <c r="G222" s="19" t="s">
        <v>282</v>
      </c>
      <c r="H222" s="18">
        <v>20</v>
      </c>
      <c r="I222" s="18" t="s">
        <v>48</v>
      </c>
      <c r="J222" s="56"/>
    </row>
    <row r="223" spans="1:10" ht="15.75" customHeight="1" x14ac:dyDescent="0.2">
      <c r="A223" s="18" t="s">
        <v>44</v>
      </c>
      <c r="B223" s="20" t="s">
        <v>20</v>
      </c>
      <c r="C223" s="20" t="s">
        <v>76</v>
      </c>
      <c r="D223" s="21" t="s">
        <v>77</v>
      </c>
      <c r="E223" s="104"/>
      <c r="F223" s="18">
        <v>332503</v>
      </c>
      <c r="G223" s="19" t="s">
        <v>283</v>
      </c>
      <c r="H223" s="18">
        <v>20</v>
      </c>
      <c r="I223" s="18" t="s">
        <v>48</v>
      </c>
      <c r="J223" s="56"/>
    </row>
    <row r="224" spans="1:10" ht="15.75" customHeight="1" x14ac:dyDescent="0.2">
      <c r="A224" s="18" t="s">
        <v>44</v>
      </c>
      <c r="B224" s="20" t="s">
        <v>20</v>
      </c>
      <c r="C224" s="20" t="s">
        <v>76</v>
      </c>
      <c r="D224" s="21" t="s">
        <v>77</v>
      </c>
      <c r="E224" s="104"/>
      <c r="F224" s="18">
        <v>332504</v>
      </c>
      <c r="G224" s="19" t="s">
        <v>284</v>
      </c>
      <c r="H224" s="18">
        <v>20</v>
      </c>
      <c r="I224" s="18" t="s">
        <v>48</v>
      </c>
      <c r="J224" s="56"/>
    </row>
    <row r="225" spans="1:10" ht="15.75" customHeight="1" x14ac:dyDescent="0.2">
      <c r="A225" s="18" t="s">
        <v>44</v>
      </c>
      <c r="B225" s="20" t="s">
        <v>20</v>
      </c>
      <c r="C225" s="20" t="s">
        <v>76</v>
      </c>
      <c r="D225" s="21" t="s">
        <v>77</v>
      </c>
      <c r="E225" s="104"/>
      <c r="F225" s="18">
        <v>332506</v>
      </c>
      <c r="G225" s="19" t="s">
        <v>285</v>
      </c>
      <c r="H225" s="18">
        <v>10</v>
      </c>
      <c r="I225" s="18" t="s">
        <v>48</v>
      </c>
      <c r="J225" s="56"/>
    </row>
    <row r="226" spans="1:10" ht="15.75" customHeight="1" x14ac:dyDescent="0.2">
      <c r="A226" s="18" t="s">
        <v>44</v>
      </c>
      <c r="B226" s="20" t="s">
        <v>20</v>
      </c>
      <c r="C226" s="20" t="s">
        <v>76</v>
      </c>
      <c r="D226" s="21" t="s">
        <v>77</v>
      </c>
      <c r="E226" s="104"/>
      <c r="F226" s="18">
        <v>332507</v>
      </c>
      <c r="G226" s="19" t="s">
        <v>286</v>
      </c>
      <c r="H226" s="18">
        <v>10</v>
      </c>
      <c r="I226" s="18" t="s">
        <v>48</v>
      </c>
      <c r="J226" s="56"/>
    </row>
    <row r="227" spans="1:10" ht="15.75" customHeight="1" x14ac:dyDescent="0.2">
      <c r="A227" s="18" t="s">
        <v>44</v>
      </c>
      <c r="B227" s="20" t="s">
        <v>20</v>
      </c>
      <c r="C227" s="20" t="s">
        <v>76</v>
      </c>
      <c r="D227" s="21" t="s">
        <v>77</v>
      </c>
      <c r="E227" s="104"/>
      <c r="F227" s="18">
        <v>332505</v>
      </c>
      <c r="G227" s="19" t="s">
        <v>287</v>
      </c>
      <c r="H227" s="18">
        <v>10</v>
      </c>
      <c r="I227" s="18" t="s">
        <v>48</v>
      </c>
      <c r="J227" s="56"/>
    </row>
    <row r="228" spans="1:10" ht="15.75" customHeight="1" x14ac:dyDescent="0.2">
      <c r="A228" s="18" t="s">
        <v>44</v>
      </c>
      <c r="B228" s="20" t="s">
        <v>20</v>
      </c>
      <c r="C228" s="20" t="s">
        <v>170</v>
      </c>
      <c r="D228" s="21" t="s">
        <v>77</v>
      </c>
      <c r="E228" s="104"/>
      <c r="F228" s="18">
        <v>32509</v>
      </c>
      <c r="G228" s="19" t="s">
        <v>288</v>
      </c>
      <c r="H228" s="18">
        <v>5</v>
      </c>
      <c r="I228" s="18" t="s">
        <v>48</v>
      </c>
      <c r="J228" s="56"/>
    </row>
    <row r="229" spans="1:10" ht="15.75" customHeight="1" x14ac:dyDescent="0.2">
      <c r="A229" s="18" t="s">
        <v>44</v>
      </c>
      <c r="B229" s="20" t="s">
        <v>20</v>
      </c>
      <c r="C229" s="20" t="s">
        <v>170</v>
      </c>
      <c r="D229" s="21" t="s">
        <v>77</v>
      </c>
      <c r="E229" s="104"/>
      <c r="F229" s="18">
        <v>32508</v>
      </c>
      <c r="G229" s="19" t="s">
        <v>289</v>
      </c>
      <c r="H229" s="18">
        <v>5</v>
      </c>
      <c r="I229" s="18" t="s">
        <v>48</v>
      </c>
      <c r="J229" s="56"/>
    </row>
    <row r="230" spans="1:10" ht="15.75" customHeight="1" x14ac:dyDescent="0.2">
      <c r="A230" s="18" t="s">
        <v>44</v>
      </c>
      <c r="B230" s="20" t="s">
        <v>20</v>
      </c>
      <c r="C230" s="20" t="s">
        <v>76</v>
      </c>
      <c r="D230" s="21" t="s">
        <v>77</v>
      </c>
      <c r="E230" s="104"/>
      <c r="F230" s="18">
        <v>332510</v>
      </c>
      <c r="G230" s="19" t="s">
        <v>290</v>
      </c>
      <c r="H230" s="18">
        <v>5</v>
      </c>
      <c r="I230" s="18" t="s">
        <v>48</v>
      </c>
      <c r="J230" s="56"/>
    </row>
    <row r="231" spans="1:10" ht="15.75" customHeight="1" x14ac:dyDescent="0.2">
      <c r="A231" s="18" t="s">
        <v>44</v>
      </c>
      <c r="B231" s="20" t="s">
        <v>20</v>
      </c>
      <c r="C231" s="20" t="s">
        <v>76</v>
      </c>
      <c r="D231" s="21" t="s">
        <v>77</v>
      </c>
      <c r="E231" s="104"/>
      <c r="F231" s="18">
        <v>332511</v>
      </c>
      <c r="G231" s="19" t="s">
        <v>291</v>
      </c>
      <c r="H231" s="18">
        <v>4</v>
      </c>
      <c r="I231" s="18" t="s">
        <v>48</v>
      </c>
      <c r="J231" s="56"/>
    </row>
    <row r="232" spans="1:10" ht="15.75" customHeight="1" x14ac:dyDescent="0.2">
      <c r="A232" s="18" t="s">
        <v>44</v>
      </c>
      <c r="B232" s="20" t="s">
        <v>20</v>
      </c>
      <c r="C232" s="20" t="s">
        <v>76</v>
      </c>
      <c r="D232" s="21" t="s">
        <v>77</v>
      </c>
      <c r="E232" s="104"/>
      <c r="F232" s="18">
        <v>332512</v>
      </c>
      <c r="G232" s="19" t="s">
        <v>292</v>
      </c>
      <c r="H232" s="18">
        <v>1</v>
      </c>
      <c r="I232" s="18" t="s">
        <v>168</v>
      </c>
      <c r="J232" s="56"/>
    </row>
    <row r="233" spans="1:10" ht="15.75" customHeight="1" x14ac:dyDescent="0.2">
      <c r="A233" s="18" t="s">
        <v>44</v>
      </c>
      <c r="B233" s="20" t="s">
        <v>20</v>
      </c>
      <c r="C233" s="20" t="s">
        <v>76</v>
      </c>
      <c r="D233" s="21" t="s">
        <v>77</v>
      </c>
      <c r="E233" s="104"/>
      <c r="F233" s="18">
        <v>332513</v>
      </c>
      <c r="G233" s="19" t="s">
        <v>293</v>
      </c>
      <c r="H233" s="18">
        <v>1</v>
      </c>
      <c r="I233" s="18" t="s">
        <v>168</v>
      </c>
      <c r="J233" s="56"/>
    </row>
    <row r="234" spans="1:10" ht="15.75" customHeight="1" x14ac:dyDescent="0.2">
      <c r="A234" s="18" t="s">
        <v>44</v>
      </c>
      <c r="B234" s="20" t="s">
        <v>20</v>
      </c>
      <c r="C234" s="20" t="s">
        <v>76</v>
      </c>
      <c r="D234" s="21" t="s">
        <v>77</v>
      </c>
      <c r="E234" s="104"/>
      <c r="F234" s="18">
        <v>332514</v>
      </c>
      <c r="G234" s="19" t="s">
        <v>294</v>
      </c>
      <c r="H234" s="18">
        <v>1</v>
      </c>
      <c r="I234" s="18" t="s">
        <v>168</v>
      </c>
      <c r="J234" s="56"/>
    </row>
    <row r="235" spans="1:10" ht="15.75" customHeight="1" x14ac:dyDescent="0.2">
      <c r="A235" s="18" t="s">
        <v>44</v>
      </c>
      <c r="B235" s="20" t="s">
        <v>20</v>
      </c>
      <c r="C235" s="20" t="s">
        <v>170</v>
      </c>
      <c r="D235" s="21" t="s">
        <v>77</v>
      </c>
      <c r="E235" s="105"/>
      <c r="F235" s="18">
        <v>32515</v>
      </c>
      <c r="G235" s="19" t="s">
        <v>295</v>
      </c>
      <c r="H235" s="18">
        <v>1</v>
      </c>
      <c r="I235" s="18" t="s">
        <v>168</v>
      </c>
      <c r="J235" s="56"/>
    </row>
    <row r="236" spans="1:10" ht="15.75" customHeight="1" x14ac:dyDescent="0.2">
      <c r="A236" s="18" t="s">
        <v>44</v>
      </c>
      <c r="B236" s="20" t="s">
        <v>20</v>
      </c>
      <c r="C236" s="20" t="s">
        <v>76</v>
      </c>
      <c r="D236" s="21" t="s">
        <v>77</v>
      </c>
      <c r="E236" s="103" t="e" vm="25">
        <v>#VALUE!</v>
      </c>
      <c r="F236" s="18">
        <v>331502</v>
      </c>
      <c r="G236" s="19" t="s">
        <v>296</v>
      </c>
      <c r="H236" s="18">
        <v>50</v>
      </c>
      <c r="I236" s="18" t="s">
        <v>48</v>
      </c>
      <c r="J236" s="56"/>
    </row>
    <row r="237" spans="1:10" ht="15.75" customHeight="1" x14ac:dyDescent="0.2">
      <c r="A237" s="18" t="s">
        <v>44</v>
      </c>
      <c r="B237" s="20" t="s">
        <v>20</v>
      </c>
      <c r="C237" s="20" t="s">
        <v>76</v>
      </c>
      <c r="D237" s="21" t="s">
        <v>77</v>
      </c>
      <c r="E237" s="104"/>
      <c r="F237" s="18">
        <v>331503</v>
      </c>
      <c r="G237" s="19" t="s">
        <v>297</v>
      </c>
      <c r="H237" s="18">
        <v>50</v>
      </c>
      <c r="I237" s="18" t="s">
        <v>48</v>
      </c>
      <c r="J237" s="56"/>
    </row>
    <row r="238" spans="1:10" ht="15.75" customHeight="1" x14ac:dyDescent="0.2">
      <c r="A238" s="18" t="s">
        <v>44</v>
      </c>
      <c r="B238" s="20" t="s">
        <v>20</v>
      </c>
      <c r="C238" s="20" t="s">
        <v>76</v>
      </c>
      <c r="D238" s="21" t="s">
        <v>77</v>
      </c>
      <c r="E238" s="104"/>
      <c r="F238" s="18">
        <v>331504</v>
      </c>
      <c r="G238" s="19" t="s">
        <v>298</v>
      </c>
      <c r="H238" s="18">
        <v>35</v>
      </c>
      <c r="I238" s="18" t="s">
        <v>48</v>
      </c>
      <c r="J238" s="56"/>
    </row>
    <row r="239" spans="1:10" ht="15.75" customHeight="1" x14ac:dyDescent="0.2">
      <c r="A239" s="18" t="s">
        <v>44</v>
      </c>
      <c r="B239" s="20" t="s">
        <v>20</v>
      </c>
      <c r="C239" s="20" t="s">
        <v>76</v>
      </c>
      <c r="D239" s="21" t="s">
        <v>77</v>
      </c>
      <c r="E239" s="104"/>
      <c r="F239" s="18">
        <v>331505</v>
      </c>
      <c r="G239" s="19" t="s">
        <v>299</v>
      </c>
      <c r="H239" s="18">
        <v>10</v>
      </c>
      <c r="I239" s="18" t="s">
        <v>48</v>
      </c>
      <c r="J239" s="56"/>
    </row>
    <row r="240" spans="1:10" ht="15.75" customHeight="1" x14ac:dyDescent="0.2">
      <c r="A240" s="18" t="s">
        <v>44</v>
      </c>
      <c r="B240" s="20" t="s">
        <v>20</v>
      </c>
      <c r="C240" s="20" t="s">
        <v>76</v>
      </c>
      <c r="D240" s="21" t="s">
        <v>77</v>
      </c>
      <c r="E240" s="104"/>
      <c r="F240" s="18">
        <v>331506</v>
      </c>
      <c r="G240" s="19" t="s">
        <v>300</v>
      </c>
      <c r="H240" s="18">
        <v>12</v>
      </c>
      <c r="I240" s="18" t="s">
        <v>48</v>
      </c>
      <c r="J240" s="56"/>
    </row>
    <row r="241" spans="1:10" ht="15.75" customHeight="1" x14ac:dyDescent="0.2">
      <c r="A241" s="18" t="s">
        <v>44</v>
      </c>
      <c r="B241" s="20" t="s">
        <v>20</v>
      </c>
      <c r="C241" s="20" t="s">
        <v>76</v>
      </c>
      <c r="D241" s="21" t="s">
        <v>77</v>
      </c>
      <c r="E241" s="104"/>
      <c r="F241" s="18">
        <v>331507</v>
      </c>
      <c r="G241" s="19" t="s">
        <v>301</v>
      </c>
      <c r="H241" s="18">
        <v>10</v>
      </c>
      <c r="I241" s="18" t="s">
        <v>48</v>
      </c>
      <c r="J241" s="56"/>
    </row>
    <row r="242" spans="1:10" ht="15.75" customHeight="1" x14ac:dyDescent="0.2">
      <c r="A242" s="18" t="s">
        <v>44</v>
      </c>
      <c r="B242" s="20" t="s">
        <v>20</v>
      </c>
      <c r="C242" s="20" t="s">
        <v>76</v>
      </c>
      <c r="D242" s="21" t="s">
        <v>77</v>
      </c>
      <c r="E242" s="104"/>
      <c r="F242" s="18">
        <v>331508</v>
      </c>
      <c r="G242" s="19" t="s">
        <v>302</v>
      </c>
      <c r="H242" s="18">
        <v>6</v>
      </c>
      <c r="I242" s="18" t="s">
        <v>48</v>
      </c>
      <c r="J242" s="56"/>
    </row>
    <row r="243" spans="1:10" ht="15.75" customHeight="1" x14ac:dyDescent="0.2">
      <c r="A243" s="18" t="s">
        <v>44</v>
      </c>
      <c r="B243" s="20" t="s">
        <v>20</v>
      </c>
      <c r="C243" s="20" t="s">
        <v>76</v>
      </c>
      <c r="D243" s="21" t="s">
        <v>77</v>
      </c>
      <c r="E243" s="104"/>
      <c r="F243" s="18">
        <v>331509</v>
      </c>
      <c r="G243" s="19" t="s">
        <v>303</v>
      </c>
      <c r="H243" s="18">
        <v>1</v>
      </c>
      <c r="I243" s="18" t="s">
        <v>48</v>
      </c>
      <c r="J243" s="56"/>
    </row>
    <row r="244" spans="1:10" ht="15.75" customHeight="1" x14ac:dyDescent="0.2">
      <c r="A244" s="18" t="s">
        <v>44</v>
      </c>
      <c r="B244" s="20" t="s">
        <v>20</v>
      </c>
      <c r="C244" s="20" t="s">
        <v>76</v>
      </c>
      <c r="D244" s="21" t="s">
        <v>77</v>
      </c>
      <c r="E244" s="105"/>
      <c r="F244" s="18">
        <v>331510</v>
      </c>
      <c r="G244" s="19" t="s">
        <v>304</v>
      </c>
      <c r="H244" s="18">
        <v>1</v>
      </c>
      <c r="I244" s="18" t="s">
        <v>168</v>
      </c>
      <c r="J244" s="56"/>
    </row>
    <row r="245" spans="1:10" ht="24.75" customHeight="1" x14ac:dyDescent="0.2">
      <c r="A245" s="18" t="s">
        <v>44</v>
      </c>
      <c r="B245" s="20" t="s">
        <v>20</v>
      </c>
      <c r="C245" s="20" t="s">
        <v>170</v>
      </c>
      <c r="D245" s="21" t="s">
        <v>77</v>
      </c>
      <c r="E245" s="103" t="e" vm="26">
        <v>#VALUE!</v>
      </c>
      <c r="F245" s="18">
        <v>33801</v>
      </c>
      <c r="G245" s="19" t="s">
        <v>305</v>
      </c>
      <c r="H245" s="18">
        <v>50</v>
      </c>
      <c r="I245" s="18" t="s">
        <v>48</v>
      </c>
      <c r="J245" s="56"/>
    </row>
    <row r="246" spans="1:10" ht="24.75" customHeight="1" x14ac:dyDescent="0.2">
      <c r="A246" s="18" t="s">
        <v>44</v>
      </c>
      <c r="B246" s="20" t="s">
        <v>20</v>
      </c>
      <c r="C246" s="20" t="s">
        <v>170</v>
      </c>
      <c r="D246" s="21" t="s">
        <v>77</v>
      </c>
      <c r="E246" s="105"/>
      <c r="F246" s="18">
        <v>33802</v>
      </c>
      <c r="G246" s="19" t="s">
        <v>306</v>
      </c>
      <c r="H246" s="18">
        <v>50</v>
      </c>
      <c r="I246" s="18" t="s">
        <v>48</v>
      </c>
      <c r="J246" s="56"/>
    </row>
    <row r="247" spans="1:10" ht="24.75" customHeight="1" x14ac:dyDescent="0.2">
      <c r="A247" s="18" t="s">
        <v>44</v>
      </c>
      <c r="B247" s="20" t="s">
        <v>20</v>
      </c>
      <c r="C247" s="20" t="s">
        <v>76</v>
      </c>
      <c r="D247" s="21" t="s">
        <v>77</v>
      </c>
      <c r="E247" s="103" t="e" vm="27">
        <v>#VALUE!</v>
      </c>
      <c r="F247" s="18">
        <v>333803</v>
      </c>
      <c r="G247" s="19" t="s">
        <v>307</v>
      </c>
      <c r="H247" s="18">
        <v>50</v>
      </c>
      <c r="I247" s="18" t="s">
        <v>48</v>
      </c>
      <c r="J247" s="56"/>
    </row>
    <row r="248" spans="1:10" ht="24.75" customHeight="1" x14ac:dyDescent="0.2">
      <c r="A248" s="18" t="s">
        <v>44</v>
      </c>
      <c r="B248" s="20" t="s">
        <v>20</v>
      </c>
      <c r="C248" s="20" t="s">
        <v>76</v>
      </c>
      <c r="D248" s="21" t="s">
        <v>77</v>
      </c>
      <c r="E248" s="105"/>
      <c r="F248" s="18">
        <v>333804</v>
      </c>
      <c r="G248" s="19" t="s">
        <v>308</v>
      </c>
      <c r="H248" s="18">
        <v>50</v>
      </c>
      <c r="I248" s="18" t="s">
        <v>48</v>
      </c>
      <c r="J248" s="56"/>
    </row>
    <row r="249" spans="1:10" ht="15.75" customHeight="1" x14ac:dyDescent="0.2">
      <c r="A249" s="18" t="s">
        <v>44</v>
      </c>
      <c r="B249" s="20" t="s">
        <v>20</v>
      </c>
      <c r="C249" s="20" t="s">
        <v>76</v>
      </c>
      <c r="D249" s="21" t="s">
        <v>77</v>
      </c>
      <c r="E249" s="103" t="e" vm="28">
        <v>#VALUE!</v>
      </c>
      <c r="F249" s="18">
        <v>333501</v>
      </c>
      <c r="G249" s="19" t="s">
        <v>309</v>
      </c>
      <c r="H249" s="18">
        <v>100</v>
      </c>
      <c r="I249" s="18" t="s">
        <v>48</v>
      </c>
      <c r="J249" s="56"/>
    </row>
    <row r="250" spans="1:10" ht="15.75" customHeight="1" x14ac:dyDescent="0.2">
      <c r="A250" s="18" t="s">
        <v>44</v>
      </c>
      <c r="B250" s="20" t="s">
        <v>20</v>
      </c>
      <c r="C250" s="20" t="s">
        <v>76</v>
      </c>
      <c r="D250" s="21" t="s">
        <v>77</v>
      </c>
      <c r="E250" s="104"/>
      <c r="F250" s="18">
        <v>333502</v>
      </c>
      <c r="G250" s="19" t="s">
        <v>310</v>
      </c>
      <c r="H250" s="18">
        <v>100</v>
      </c>
      <c r="I250" s="18" t="s">
        <v>48</v>
      </c>
      <c r="J250" s="56"/>
    </row>
    <row r="251" spans="1:10" ht="15.75" customHeight="1" x14ac:dyDescent="0.2">
      <c r="A251" s="18" t="s">
        <v>44</v>
      </c>
      <c r="B251" s="20" t="s">
        <v>20</v>
      </c>
      <c r="C251" s="20" t="s">
        <v>76</v>
      </c>
      <c r="D251" s="21" t="s">
        <v>77</v>
      </c>
      <c r="E251" s="104"/>
      <c r="F251" s="18">
        <v>333503</v>
      </c>
      <c r="G251" s="19" t="s">
        <v>311</v>
      </c>
      <c r="H251" s="18">
        <v>50</v>
      </c>
      <c r="I251" s="18" t="s">
        <v>48</v>
      </c>
      <c r="J251" s="56"/>
    </row>
    <row r="252" spans="1:10" ht="15.75" customHeight="1" x14ac:dyDescent="0.2">
      <c r="A252" s="18" t="s">
        <v>44</v>
      </c>
      <c r="B252" s="20" t="s">
        <v>20</v>
      </c>
      <c r="C252" s="20" t="s">
        <v>76</v>
      </c>
      <c r="D252" s="21" t="s">
        <v>77</v>
      </c>
      <c r="E252" s="104"/>
      <c r="F252" s="18">
        <v>333504</v>
      </c>
      <c r="G252" s="19" t="s">
        <v>312</v>
      </c>
      <c r="H252" s="18">
        <v>20</v>
      </c>
      <c r="I252" s="18" t="s">
        <v>48</v>
      </c>
      <c r="J252" s="56"/>
    </row>
    <row r="253" spans="1:10" ht="15.75" customHeight="1" x14ac:dyDescent="0.2">
      <c r="A253" s="18" t="s">
        <v>44</v>
      </c>
      <c r="B253" s="20" t="s">
        <v>20</v>
      </c>
      <c r="C253" s="20" t="s">
        <v>76</v>
      </c>
      <c r="D253" s="21" t="s">
        <v>77</v>
      </c>
      <c r="E253" s="104"/>
      <c r="F253" s="18">
        <v>333505</v>
      </c>
      <c r="G253" s="19" t="s">
        <v>313</v>
      </c>
      <c r="H253" s="18">
        <v>20</v>
      </c>
      <c r="I253" s="18" t="s">
        <v>48</v>
      </c>
      <c r="J253" s="56"/>
    </row>
    <row r="254" spans="1:10" ht="15.75" customHeight="1" x14ac:dyDescent="0.2">
      <c r="A254" s="18" t="s">
        <v>44</v>
      </c>
      <c r="B254" s="20" t="s">
        <v>20</v>
      </c>
      <c r="C254" s="20" t="s">
        <v>76</v>
      </c>
      <c r="D254" s="21" t="s">
        <v>77</v>
      </c>
      <c r="E254" s="105"/>
      <c r="F254" s="18">
        <v>333506</v>
      </c>
      <c r="G254" s="19" t="s">
        <v>314</v>
      </c>
      <c r="H254" s="18">
        <v>20</v>
      </c>
      <c r="I254" s="18" t="s">
        <v>48</v>
      </c>
      <c r="J254" s="56"/>
    </row>
    <row r="255" spans="1:10" ht="15.75" customHeight="1" x14ac:dyDescent="0.2">
      <c r="A255" s="18" t="s">
        <v>44</v>
      </c>
      <c r="B255" s="20" t="s">
        <v>20</v>
      </c>
      <c r="C255" s="20" t="s">
        <v>76</v>
      </c>
      <c r="D255" s="21" t="s">
        <v>77</v>
      </c>
      <c r="E255" s="103" t="e" vm="29">
        <v>#VALUE!</v>
      </c>
      <c r="F255" s="18">
        <v>333901</v>
      </c>
      <c r="G255" s="19" t="s">
        <v>315</v>
      </c>
      <c r="H255" s="18">
        <v>10</v>
      </c>
      <c r="I255" s="18" t="s">
        <v>48</v>
      </c>
      <c r="J255" s="56"/>
    </row>
    <row r="256" spans="1:10" ht="15.75" customHeight="1" x14ac:dyDescent="0.2">
      <c r="A256" s="18" t="s">
        <v>44</v>
      </c>
      <c r="B256" s="20" t="s">
        <v>20</v>
      </c>
      <c r="C256" s="20" t="s">
        <v>76</v>
      </c>
      <c r="D256" s="21" t="s">
        <v>77</v>
      </c>
      <c r="E256" s="104"/>
      <c r="F256" s="18">
        <v>333902</v>
      </c>
      <c r="G256" s="19" t="s">
        <v>316</v>
      </c>
      <c r="H256" s="18">
        <v>10</v>
      </c>
      <c r="I256" s="18" t="s">
        <v>48</v>
      </c>
      <c r="J256" s="56"/>
    </row>
    <row r="257" spans="1:10" ht="15.75" customHeight="1" x14ac:dyDescent="0.2">
      <c r="A257" s="18" t="s">
        <v>44</v>
      </c>
      <c r="B257" s="20" t="s">
        <v>20</v>
      </c>
      <c r="C257" s="20" t="s">
        <v>76</v>
      </c>
      <c r="D257" s="21" t="s">
        <v>77</v>
      </c>
      <c r="E257" s="105"/>
      <c r="F257" s="18">
        <v>333903</v>
      </c>
      <c r="G257" s="19" t="s">
        <v>317</v>
      </c>
      <c r="H257" s="18">
        <v>5</v>
      </c>
      <c r="I257" s="18" t="s">
        <v>48</v>
      </c>
      <c r="J257" s="56"/>
    </row>
    <row r="258" spans="1:10" ht="19.5" customHeight="1" x14ac:dyDescent="0.2">
      <c r="A258" s="18" t="s">
        <v>44</v>
      </c>
      <c r="B258" s="20" t="s">
        <v>20</v>
      </c>
      <c r="C258" s="20" t="s">
        <v>318</v>
      </c>
      <c r="D258" s="21" t="s">
        <v>319</v>
      </c>
      <c r="E258" s="103" t="e" vm="30">
        <v>#VALUE!</v>
      </c>
      <c r="F258" s="18">
        <v>333002</v>
      </c>
      <c r="G258" s="19" t="s">
        <v>320</v>
      </c>
      <c r="H258" s="18">
        <v>10</v>
      </c>
      <c r="I258" s="18" t="s">
        <v>48</v>
      </c>
      <c r="J258" s="56"/>
    </row>
    <row r="259" spans="1:10" ht="19.5" customHeight="1" x14ac:dyDescent="0.2">
      <c r="A259" s="18" t="s">
        <v>44</v>
      </c>
      <c r="B259" s="20" t="s">
        <v>20</v>
      </c>
      <c r="C259" s="20" t="s">
        <v>318</v>
      </c>
      <c r="D259" s="21" t="s">
        <v>319</v>
      </c>
      <c r="E259" s="104"/>
      <c r="F259" s="18">
        <v>333003</v>
      </c>
      <c r="G259" s="19" t="s">
        <v>321</v>
      </c>
      <c r="H259" s="18">
        <v>10</v>
      </c>
      <c r="I259" s="18" t="s">
        <v>48</v>
      </c>
      <c r="J259" s="56"/>
    </row>
    <row r="260" spans="1:10" ht="19.5" customHeight="1" x14ac:dyDescent="0.2">
      <c r="A260" s="18" t="s">
        <v>44</v>
      </c>
      <c r="B260" s="20" t="s">
        <v>20</v>
      </c>
      <c r="C260" s="20" t="s">
        <v>318</v>
      </c>
      <c r="D260" s="21" t="s">
        <v>319</v>
      </c>
      <c r="E260" s="105"/>
      <c r="F260" s="18">
        <v>333004</v>
      </c>
      <c r="G260" s="19" t="s">
        <v>322</v>
      </c>
      <c r="H260" s="18">
        <v>10</v>
      </c>
      <c r="I260" s="18" t="s">
        <v>48</v>
      </c>
      <c r="J260" s="56"/>
    </row>
    <row r="261" spans="1:10" ht="29.25" customHeight="1" x14ac:dyDescent="0.2">
      <c r="A261" s="18" t="s">
        <v>44</v>
      </c>
      <c r="B261" s="20" t="s">
        <v>20</v>
      </c>
      <c r="C261" s="20" t="s">
        <v>318</v>
      </c>
      <c r="D261" s="21" t="s">
        <v>319</v>
      </c>
      <c r="E261" s="103" t="e" vm="31">
        <v>#VALUE!</v>
      </c>
      <c r="F261" s="18">
        <v>333032</v>
      </c>
      <c r="G261" s="19" t="s">
        <v>323</v>
      </c>
      <c r="H261" s="18">
        <v>1</v>
      </c>
      <c r="I261" s="18" t="s">
        <v>48</v>
      </c>
      <c r="J261" s="56"/>
    </row>
    <row r="262" spans="1:10" ht="27.75" customHeight="1" x14ac:dyDescent="0.2">
      <c r="A262" s="18" t="s">
        <v>44</v>
      </c>
      <c r="B262" s="20" t="s">
        <v>20</v>
      </c>
      <c r="C262" s="20" t="s">
        <v>318</v>
      </c>
      <c r="D262" s="21" t="s">
        <v>319</v>
      </c>
      <c r="E262" s="105"/>
      <c r="F262" s="18">
        <v>333033</v>
      </c>
      <c r="G262" s="19" t="s">
        <v>324</v>
      </c>
      <c r="H262" s="18">
        <v>1</v>
      </c>
      <c r="I262" s="18" t="s">
        <v>48</v>
      </c>
      <c r="J262" s="56"/>
    </row>
    <row r="263" spans="1:10" ht="17.25" customHeight="1" x14ac:dyDescent="0.2">
      <c r="A263" s="18" t="s">
        <v>44</v>
      </c>
      <c r="B263" s="20" t="s">
        <v>20</v>
      </c>
      <c r="C263" s="20" t="s">
        <v>318</v>
      </c>
      <c r="D263" s="21" t="s">
        <v>319</v>
      </c>
      <c r="E263" s="103" t="e" vm="32">
        <v>#VALUE!</v>
      </c>
      <c r="F263" s="18">
        <v>333203</v>
      </c>
      <c r="G263" s="19" t="s">
        <v>325</v>
      </c>
      <c r="H263" s="18">
        <v>10</v>
      </c>
      <c r="I263" s="18" t="s">
        <v>48</v>
      </c>
      <c r="J263" s="56"/>
    </row>
    <row r="264" spans="1:10" ht="17.25" customHeight="1" x14ac:dyDescent="0.2">
      <c r="A264" s="18" t="s">
        <v>44</v>
      </c>
      <c r="B264" s="20" t="s">
        <v>20</v>
      </c>
      <c r="C264" s="20" t="s">
        <v>318</v>
      </c>
      <c r="D264" s="21" t="s">
        <v>319</v>
      </c>
      <c r="E264" s="105"/>
      <c r="F264" s="18">
        <v>333204</v>
      </c>
      <c r="G264" s="19" t="s">
        <v>326</v>
      </c>
      <c r="H264" s="18">
        <v>10</v>
      </c>
      <c r="I264" s="18" t="s">
        <v>48</v>
      </c>
      <c r="J264" s="56"/>
    </row>
    <row r="265" spans="1:10" ht="18.75" customHeight="1" x14ac:dyDescent="0.2">
      <c r="A265" s="18" t="s">
        <v>44</v>
      </c>
      <c r="B265" s="20" t="s">
        <v>20</v>
      </c>
      <c r="C265" s="20" t="s">
        <v>318</v>
      </c>
      <c r="D265" s="21" t="s">
        <v>319</v>
      </c>
      <c r="E265" s="103" t="e" vm="33">
        <v>#VALUE!</v>
      </c>
      <c r="F265" s="18">
        <v>333303</v>
      </c>
      <c r="G265" s="19" t="s">
        <v>327</v>
      </c>
      <c r="H265" s="18">
        <v>10</v>
      </c>
      <c r="I265" s="18" t="s">
        <v>48</v>
      </c>
      <c r="J265" s="56"/>
    </row>
    <row r="266" spans="1:10" ht="18.75" customHeight="1" x14ac:dyDescent="0.2">
      <c r="A266" s="18" t="s">
        <v>44</v>
      </c>
      <c r="B266" s="20" t="s">
        <v>20</v>
      </c>
      <c r="C266" s="20" t="s">
        <v>318</v>
      </c>
      <c r="D266" s="21" t="s">
        <v>319</v>
      </c>
      <c r="E266" s="105"/>
      <c r="F266" s="18">
        <v>333304</v>
      </c>
      <c r="G266" s="19" t="s">
        <v>328</v>
      </c>
      <c r="H266" s="18">
        <v>10</v>
      </c>
      <c r="I266" s="18" t="s">
        <v>48</v>
      </c>
      <c r="J266" s="56"/>
    </row>
    <row r="267" spans="1:10" ht="18.75" customHeight="1" x14ac:dyDescent="0.2">
      <c r="A267" s="18" t="s">
        <v>44</v>
      </c>
      <c r="B267" s="20" t="s">
        <v>20</v>
      </c>
      <c r="C267" s="20" t="s">
        <v>318</v>
      </c>
      <c r="D267" s="18" t="s">
        <v>319</v>
      </c>
      <c r="E267" s="103" t="e" vm="34">
        <v>#VALUE!</v>
      </c>
      <c r="F267" s="18">
        <v>33042</v>
      </c>
      <c r="G267" s="19" t="s">
        <v>329</v>
      </c>
      <c r="H267" s="18">
        <v>10</v>
      </c>
      <c r="I267" s="18" t="s">
        <v>48</v>
      </c>
      <c r="J267" s="56"/>
    </row>
    <row r="268" spans="1:10" ht="18" customHeight="1" x14ac:dyDescent="0.2">
      <c r="A268" s="18" t="s">
        <v>44</v>
      </c>
      <c r="B268" s="20" t="s">
        <v>20</v>
      </c>
      <c r="C268" s="20" t="s">
        <v>318</v>
      </c>
      <c r="D268" s="18" t="s">
        <v>319</v>
      </c>
      <c r="E268" s="104"/>
      <c r="F268" s="18">
        <v>33043</v>
      </c>
      <c r="G268" s="19" t="s">
        <v>330</v>
      </c>
      <c r="H268" s="18">
        <v>10</v>
      </c>
      <c r="I268" s="18" t="s">
        <v>48</v>
      </c>
      <c r="J268" s="56"/>
    </row>
    <row r="269" spans="1:10" ht="18" customHeight="1" x14ac:dyDescent="0.2">
      <c r="A269" s="18" t="s">
        <v>44</v>
      </c>
      <c r="B269" s="20" t="s">
        <v>20</v>
      </c>
      <c r="C269" s="20" t="s">
        <v>318</v>
      </c>
      <c r="D269" s="18" t="s">
        <v>319</v>
      </c>
      <c r="E269" s="105"/>
      <c r="F269" s="18">
        <v>33044</v>
      </c>
      <c r="G269" s="19" t="s">
        <v>331</v>
      </c>
      <c r="H269" s="18">
        <v>10</v>
      </c>
      <c r="I269" s="18" t="s">
        <v>48</v>
      </c>
      <c r="J269" s="56"/>
    </row>
    <row r="270" spans="1:10" ht="18.75" customHeight="1" x14ac:dyDescent="0.2">
      <c r="A270" s="18" t="s">
        <v>44</v>
      </c>
      <c r="B270" s="20" t="s">
        <v>20</v>
      </c>
      <c r="C270" s="20" t="s">
        <v>318</v>
      </c>
      <c r="D270" s="18" t="s">
        <v>319</v>
      </c>
      <c r="E270" s="103" t="e" vm="35">
        <v>#VALUE!</v>
      </c>
      <c r="F270" s="18">
        <v>33052</v>
      </c>
      <c r="G270" s="19" t="s">
        <v>332</v>
      </c>
      <c r="H270" s="18">
        <v>10</v>
      </c>
      <c r="I270" s="18" t="s">
        <v>48</v>
      </c>
      <c r="J270" s="56"/>
    </row>
    <row r="271" spans="1:10" ht="18.75" customHeight="1" x14ac:dyDescent="0.2">
      <c r="A271" s="18" t="s">
        <v>44</v>
      </c>
      <c r="B271" s="20" t="s">
        <v>20</v>
      </c>
      <c r="C271" s="20" t="s">
        <v>318</v>
      </c>
      <c r="D271" s="18" t="s">
        <v>319</v>
      </c>
      <c r="E271" s="104"/>
      <c r="F271" s="18">
        <v>33053</v>
      </c>
      <c r="G271" s="19" t="s">
        <v>333</v>
      </c>
      <c r="H271" s="18">
        <v>10</v>
      </c>
      <c r="I271" s="18" t="s">
        <v>48</v>
      </c>
      <c r="J271" s="56"/>
    </row>
    <row r="272" spans="1:10" ht="18.75" customHeight="1" x14ac:dyDescent="0.2">
      <c r="A272" s="18" t="s">
        <v>44</v>
      </c>
      <c r="B272" s="20" t="s">
        <v>20</v>
      </c>
      <c r="C272" s="20" t="s">
        <v>318</v>
      </c>
      <c r="D272" s="18" t="s">
        <v>319</v>
      </c>
      <c r="E272" s="105"/>
      <c r="F272" s="18">
        <v>33054</v>
      </c>
      <c r="G272" s="19" t="s">
        <v>334</v>
      </c>
      <c r="H272" s="18">
        <v>10</v>
      </c>
      <c r="I272" s="18" t="s">
        <v>48</v>
      </c>
      <c r="J272" s="56"/>
    </row>
    <row r="273" spans="1:10" ht="18.75" customHeight="1" x14ac:dyDescent="0.2">
      <c r="A273" s="18" t="s">
        <v>44</v>
      </c>
      <c r="B273" s="20" t="s">
        <v>20</v>
      </c>
      <c r="C273" s="20" t="s">
        <v>318</v>
      </c>
      <c r="D273" s="18" t="s">
        <v>319</v>
      </c>
      <c r="E273" s="103" t="e" vm="36">
        <v>#VALUE!</v>
      </c>
      <c r="F273" s="18">
        <v>33062</v>
      </c>
      <c r="G273" s="19" t="s">
        <v>335</v>
      </c>
      <c r="H273" s="18">
        <v>10</v>
      </c>
      <c r="I273" s="18" t="s">
        <v>48</v>
      </c>
      <c r="J273" s="56"/>
    </row>
    <row r="274" spans="1:10" ht="18.75" customHeight="1" x14ac:dyDescent="0.2">
      <c r="A274" s="18" t="s">
        <v>44</v>
      </c>
      <c r="B274" s="20" t="s">
        <v>20</v>
      </c>
      <c r="C274" s="20" t="s">
        <v>318</v>
      </c>
      <c r="D274" s="18" t="s">
        <v>319</v>
      </c>
      <c r="E274" s="104"/>
      <c r="F274" s="18">
        <v>33063</v>
      </c>
      <c r="G274" s="19" t="s">
        <v>336</v>
      </c>
      <c r="H274" s="18">
        <v>10</v>
      </c>
      <c r="I274" s="18" t="s">
        <v>48</v>
      </c>
      <c r="J274" s="56"/>
    </row>
    <row r="275" spans="1:10" ht="18.75" customHeight="1" x14ac:dyDescent="0.2">
      <c r="A275" s="18" t="s">
        <v>44</v>
      </c>
      <c r="B275" s="20" t="s">
        <v>20</v>
      </c>
      <c r="C275" s="20" t="s">
        <v>318</v>
      </c>
      <c r="D275" s="18" t="s">
        <v>319</v>
      </c>
      <c r="E275" s="105"/>
      <c r="F275" s="18">
        <v>33064</v>
      </c>
      <c r="G275" s="19" t="s">
        <v>337</v>
      </c>
      <c r="H275" s="18">
        <v>10</v>
      </c>
      <c r="I275" s="18" t="s">
        <v>48</v>
      </c>
      <c r="J275" s="56"/>
    </row>
    <row r="276" spans="1:10" ht="18" customHeight="1" x14ac:dyDescent="0.2">
      <c r="A276" s="18" t="s">
        <v>44</v>
      </c>
      <c r="B276" s="20" t="s">
        <v>20</v>
      </c>
      <c r="C276" s="20" t="s">
        <v>318</v>
      </c>
      <c r="D276" s="18" t="s">
        <v>319</v>
      </c>
      <c r="E276" s="103" t="e" vm="37">
        <v>#VALUE!</v>
      </c>
      <c r="F276" s="18">
        <v>33402</v>
      </c>
      <c r="G276" s="19" t="s">
        <v>338</v>
      </c>
      <c r="H276" s="18">
        <v>10</v>
      </c>
      <c r="I276" s="18" t="s">
        <v>48</v>
      </c>
      <c r="J276" s="56"/>
    </row>
    <row r="277" spans="1:10" ht="18.75" customHeight="1" x14ac:dyDescent="0.2">
      <c r="A277" s="18" t="s">
        <v>44</v>
      </c>
      <c r="B277" s="20" t="s">
        <v>20</v>
      </c>
      <c r="C277" s="20" t="s">
        <v>318</v>
      </c>
      <c r="D277" s="18" t="s">
        <v>319</v>
      </c>
      <c r="E277" s="104"/>
      <c r="F277" s="18">
        <v>33403</v>
      </c>
      <c r="G277" s="19" t="s">
        <v>339</v>
      </c>
      <c r="H277" s="18">
        <v>10</v>
      </c>
      <c r="I277" s="18" t="s">
        <v>48</v>
      </c>
      <c r="J277" s="56"/>
    </row>
    <row r="278" spans="1:10" ht="18.75" customHeight="1" x14ac:dyDescent="0.2">
      <c r="A278" s="18" t="s">
        <v>44</v>
      </c>
      <c r="B278" s="20" t="s">
        <v>20</v>
      </c>
      <c r="C278" s="20" t="s">
        <v>318</v>
      </c>
      <c r="D278" s="18" t="s">
        <v>319</v>
      </c>
      <c r="E278" s="105"/>
      <c r="F278" s="18">
        <v>33404</v>
      </c>
      <c r="G278" s="19" t="s">
        <v>340</v>
      </c>
      <c r="H278" s="18">
        <v>10</v>
      </c>
      <c r="I278" s="18" t="s">
        <v>48</v>
      </c>
      <c r="J278" s="56"/>
    </row>
    <row r="279" spans="1:10" ht="18.75" customHeight="1" x14ac:dyDescent="0.2">
      <c r="A279" s="18" t="s">
        <v>44</v>
      </c>
      <c r="B279" s="20" t="s">
        <v>20</v>
      </c>
      <c r="C279" s="20" t="s">
        <v>318</v>
      </c>
      <c r="D279" s="18" t="s">
        <v>319</v>
      </c>
      <c r="E279" s="113" t="e" vm="38">
        <v>#VALUE!</v>
      </c>
      <c r="F279" s="18">
        <v>33072</v>
      </c>
      <c r="G279" s="19" t="s">
        <v>341</v>
      </c>
      <c r="H279" s="18">
        <v>10</v>
      </c>
      <c r="I279" s="18" t="s">
        <v>48</v>
      </c>
      <c r="J279" s="56"/>
    </row>
    <row r="280" spans="1:10" ht="18.75" customHeight="1" x14ac:dyDescent="0.2">
      <c r="A280" s="18" t="s">
        <v>44</v>
      </c>
      <c r="B280" s="20" t="s">
        <v>20</v>
      </c>
      <c r="C280" s="20" t="s">
        <v>318</v>
      </c>
      <c r="D280" s="18" t="s">
        <v>319</v>
      </c>
      <c r="E280" s="104"/>
      <c r="F280" s="18">
        <v>33073</v>
      </c>
      <c r="G280" s="19" t="s">
        <v>342</v>
      </c>
      <c r="H280" s="18">
        <v>10</v>
      </c>
      <c r="I280" s="18" t="s">
        <v>48</v>
      </c>
      <c r="J280" s="56"/>
    </row>
    <row r="281" spans="1:10" ht="18.75" customHeight="1" x14ac:dyDescent="0.2">
      <c r="A281" s="18" t="s">
        <v>44</v>
      </c>
      <c r="B281" s="20" t="s">
        <v>20</v>
      </c>
      <c r="C281" s="20" t="s">
        <v>318</v>
      </c>
      <c r="D281" s="18" t="s">
        <v>319</v>
      </c>
      <c r="E281" s="105"/>
      <c r="F281" s="18">
        <v>33074</v>
      </c>
      <c r="G281" s="19" t="s">
        <v>343</v>
      </c>
      <c r="H281" s="18">
        <v>10</v>
      </c>
      <c r="I281" s="18" t="s">
        <v>48</v>
      </c>
      <c r="J281" s="56"/>
    </row>
    <row r="282" spans="1:10" ht="20.25" customHeight="1" x14ac:dyDescent="0.2">
      <c r="A282" s="18" t="s">
        <v>44</v>
      </c>
      <c r="B282" s="20" t="s">
        <v>20</v>
      </c>
      <c r="C282" s="20" t="s">
        <v>318</v>
      </c>
      <c r="D282" s="21" t="s">
        <v>319</v>
      </c>
      <c r="E282" s="103" t="e" vm="39">
        <v>#VALUE!</v>
      </c>
      <c r="F282" s="18">
        <v>333101</v>
      </c>
      <c r="G282" s="19" t="s">
        <v>344</v>
      </c>
      <c r="H282" s="18">
        <v>10</v>
      </c>
      <c r="I282" s="18" t="s">
        <v>48</v>
      </c>
      <c r="J282" s="56"/>
    </row>
    <row r="283" spans="1:10" ht="20.25" customHeight="1" x14ac:dyDescent="0.2">
      <c r="A283" s="18" t="s">
        <v>44</v>
      </c>
      <c r="B283" s="20" t="s">
        <v>20</v>
      </c>
      <c r="C283" s="20" t="s">
        <v>318</v>
      </c>
      <c r="D283" s="21" t="s">
        <v>319</v>
      </c>
      <c r="E283" s="104"/>
      <c r="F283" s="18">
        <v>333102</v>
      </c>
      <c r="G283" s="19" t="s">
        <v>345</v>
      </c>
      <c r="H283" s="18">
        <v>10</v>
      </c>
      <c r="I283" s="18" t="s">
        <v>48</v>
      </c>
      <c r="J283" s="56"/>
    </row>
    <row r="284" spans="1:10" ht="20.25" customHeight="1" x14ac:dyDescent="0.2">
      <c r="A284" s="18" t="s">
        <v>44</v>
      </c>
      <c r="B284" s="20" t="s">
        <v>20</v>
      </c>
      <c r="C284" s="20" t="s">
        <v>318</v>
      </c>
      <c r="D284" s="21" t="s">
        <v>319</v>
      </c>
      <c r="E284" s="105"/>
      <c r="F284" s="18">
        <v>333103</v>
      </c>
      <c r="G284" s="19" t="s">
        <v>346</v>
      </c>
      <c r="H284" s="18">
        <v>10</v>
      </c>
      <c r="I284" s="18" t="s">
        <v>48</v>
      </c>
      <c r="J284" s="56"/>
    </row>
    <row r="285" spans="1:10" ht="20.25" customHeight="1" x14ac:dyDescent="0.2">
      <c r="A285" s="18" t="s">
        <v>44</v>
      </c>
      <c r="B285" s="20" t="s">
        <v>20</v>
      </c>
      <c r="C285" s="20" t="s">
        <v>318</v>
      </c>
      <c r="D285" s="21" t="s">
        <v>319</v>
      </c>
      <c r="E285" s="111" t="e" vm="40">
        <v>#VALUE!</v>
      </c>
      <c r="F285" s="18">
        <v>335101</v>
      </c>
      <c r="G285" s="19" t="s">
        <v>347</v>
      </c>
      <c r="H285" s="18">
        <v>10</v>
      </c>
      <c r="I285" s="18" t="s">
        <v>48</v>
      </c>
      <c r="J285" s="56"/>
    </row>
    <row r="286" spans="1:10" ht="20.25" customHeight="1" x14ac:dyDescent="0.2">
      <c r="A286" s="18" t="s">
        <v>44</v>
      </c>
      <c r="B286" s="20" t="s">
        <v>20</v>
      </c>
      <c r="C286" s="20" t="s">
        <v>318</v>
      </c>
      <c r="D286" s="21" t="s">
        <v>319</v>
      </c>
      <c r="E286" s="111"/>
      <c r="F286" s="18">
        <v>335102</v>
      </c>
      <c r="G286" s="19" t="s">
        <v>348</v>
      </c>
      <c r="H286" s="18">
        <v>8</v>
      </c>
      <c r="I286" s="18" t="s">
        <v>48</v>
      </c>
      <c r="J286" s="56"/>
    </row>
    <row r="287" spans="1:10" ht="20.25" customHeight="1" x14ac:dyDescent="0.2">
      <c r="A287" s="18" t="s">
        <v>44</v>
      </c>
      <c r="B287" s="20" t="s">
        <v>20</v>
      </c>
      <c r="C287" s="20" t="s">
        <v>318</v>
      </c>
      <c r="D287" s="21" t="s">
        <v>319</v>
      </c>
      <c r="E287" s="111"/>
      <c r="F287" s="18">
        <v>335103</v>
      </c>
      <c r="G287" s="19" t="s">
        <v>349</v>
      </c>
      <c r="H287" s="18">
        <v>8</v>
      </c>
      <c r="I287" s="18" t="s">
        <v>48</v>
      </c>
      <c r="J287" s="56"/>
    </row>
    <row r="288" spans="1:10" ht="20.25" customHeight="1" x14ac:dyDescent="0.2">
      <c r="A288" s="18" t="s">
        <v>44</v>
      </c>
      <c r="B288" s="20" t="s">
        <v>20</v>
      </c>
      <c r="C288" s="20" t="s">
        <v>318</v>
      </c>
      <c r="D288" s="21" t="s">
        <v>319</v>
      </c>
      <c r="E288" s="111"/>
      <c r="F288" s="18">
        <v>335104</v>
      </c>
      <c r="G288" s="19" t="s">
        <v>350</v>
      </c>
      <c r="H288" s="18">
        <v>8</v>
      </c>
      <c r="I288" s="18" t="s">
        <v>48</v>
      </c>
      <c r="J288" s="56"/>
    </row>
    <row r="289" spans="1:10" ht="20.25" customHeight="1" x14ac:dyDescent="0.2">
      <c r="A289" s="18" t="s">
        <v>44</v>
      </c>
      <c r="B289" s="20" t="s">
        <v>20</v>
      </c>
      <c r="C289" s="20" t="s">
        <v>318</v>
      </c>
      <c r="D289" s="21" t="s">
        <v>319</v>
      </c>
      <c r="E289" s="111"/>
      <c r="F289" s="18">
        <v>335105</v>
      </c>
      <c r="G289" s="19" t="s">
        <v>351</v>
      </c>
      <c r="H289" s="18">
        <v>2</v>
      </c>
      <c r="I289" s="18" t="s">
        <v>48</v>
      </c>
      <c r="J289" s="56"/>
    </row>
    <row r="290" spans="1:10" ht="20.25" customHeight="1" x14ac:dyDescent="0.2">
      <c r="A290" s="18" t="s">
        <v>44</v>
      </c>
      <c r="B290" s="20" t="s">
        <v>20</v>
      </c>
      <c r="C290" s="20" t="s">
        <v>318</v>
      </c>
      <c r="D290" s="21" t="s">
        <v>319</v>
      </c>
      <c r="E290" s="111"/>
      <c r="F290" s="18">
        <v>335106</v>
      </c>
      <c r="G290" s="19" t="s">
        <v>352</v>
      </c>
      <c r="H290" s="18">
        <v>1</v>
      </c>
      <c r="I290" s="18" t="s">
        <v>146</v>
      </c>
      <c r="J290" s="56"/>
    </row>
    <row r="291" spans="1:10" ht="39" customHeight="1" x14ac:dyDescent="0.2">
      <c r="A291" s="18" t="s">
        <v>44</v>
      </c>
      <c r="B291" s="20" t="s">
        <v>20</v>
      </c>
      <c r="C291" s="20" t="s">
        <v>318</v>
      </c>
      <c r="D291" s="21" t="s">
        <v>319</v>
      </c>
      <c r="E291" s="73" t="e" vm="41">
        <v>#VALUE!</v>
      </c>
      <c r="F291" s="18">
        <v>34101</v>
      </c>
      <c r="G291" s="19" t="s">
        <v>353</v>
      </c>
      <c r="H291" s="18">
        <v>5</v>
      </c>
      <c r="I291" s="18" t="s">
        <v>48</v>
      </c>
      <c r="J291" s="56"/>
    </row>
    <row r="292" spans="1:10" ht="39" customHeight="1" x14ac:dyDescent="0.2">
      <c r="A292" s="18" t="s">
        <v>44</v>
      </c>
      <c r="B292" s="20" t="s">
        <v>20</v>
      </c>
      <c r="C292" s="20" t="s">
        <v>318</v>
      </c>
      <c r="D292" s="21" t="s">
        <v>319</v>
      </c>
      <c r="E292" s="22" t="e" vm="42">
        <v>#VALUE!</v>
      </c>
      <c r="F292" s="18">
        <v>34201</v>
      </c>
      <c r="G292" s="19" t="s">
        <v>354</v>
      </c>
      <c r="H292" s="18">
        <v>5</v>
      </c>
      <c r="I292" s="18" t="s">
        <v>48</v>
      </c>
      <c r="J292" s="56"/>
    </row>
    <row r="293" spans="1:10" ht="39" customHeight="1" x14ac:dyDescent="0.2">
      <c r="A293" s="18" t="s">
        <v>44</v>
      </c>
      <c r="B293" s="20" t="s">
        <v>20</v>
      </c>
      <c r="C293" s="20" t="s">
        <v>318</v>
      </c>
      <c r="D293" s="21" t="s">
        <v>319</v>
      </c>
      <c r="E293" s="24" t="e" vm="43">
        <v>#VALUE!</v>
      </c>
      <c r="F293" s="18">
        <v>34102</v>
      </c>
      <c r="G293" s="19" t="s">
        <v>355</v>
      </c>
      <c r="H293" s="18">
        <v>5</v>
      </c>
      <c r="I293" s="18" t="s">
        <v>48</v>
      </c>
      <c r="J293" s="56"/>
    </row>
    <row r="294" spans="1:10" ht="39" customHeight="1" x14ac:dyDescent="0.2">
      <c r="A294" s="18" t="s">
        <v>44</v>
      </c>
      <c r="B294" s="20" t="s">
        <v>20</v>
      </c>
      <c r="C294" s="20" t="s">
        <v>318</v>
      </c>
      <c r="D294" s="21" t="s">
        <v>319</v>
      </c>
      <c r="E294" s="24" t="e" vm="44">
        <v>#VALUE!</v>
      </c>
      <c r="F294" s="18">
        <v>34202</v>
      </c>
      <c r="G294" s="19" t="s">
        <v>356</v>
      </c>
      <c r="H294" s="18">
        <v>5</v>
      </c>
      <c r="I294" s="18" t="s">
        <v>48</v>
      </c>
      <c r="J294" s="56"/>
    </row>
    <row r="295" spans="1:10" ht="30" customHeight="1" x14ac:dyDescent="0.2">
      <c r="A295" s="18" t="s">
        <v>44</v>
      </c>
      <c r="B295" s="19" t="s">
        <v>20</v>
      </c>
      <c r="C295" s="19" t="s">
        <v>357</v>
      </c>
      <c r="D295" s="21" t="s">
        <v>358</v>
      </c>
      <c r="E295" s="103" t="e" vm="45">
        <v>#VALUE!</v>
      </c>
      <c r="F295" s="18">
        <v>334801</v>
      </c>
      <c r="G295" s="19" t="s">
        <v>359</v>
      </c>
      <c r="H295" s="18">
        <v>10</v>
      </c>
      <c r="I295" s="18" t="s">
        <v>146</v>
      </c>
      <c r="J295" s="56"/>
    </row>
    <row r="296" spans="1:10" ht="30" customHeight="1" x14ac:dyDescent="0.2">
      <c r="A296" s="18" t="s">
        <v>44</v>
      </c>
      <c r="B296" s="19" t="s">
        <v>20</v>
      </c>
      <c r="C296" s="19" t="s">
        <v>357</v>
      </c>
      <c r="D296" s="21" t="s">
        <v>358</v>
      </c>
      <c r="E296" s="105"/>
      <c r="F296" s="18">
        <v>334802</v>
      </c>
      <c r="G296" s="19" t="s">
        <v>360</v>
      </c>
      <c r="H296" s="18">
        <v>5</v>
      </c>
      <c r="I296" s="18" t="s">
        <v>146</v>
      </c>
      <c r="J296" s="56"/>
    </row>
    <row r="297" spans="1:10" ht="41.25" customHeight="1" x14ac:dyDescent="0.2">
      <c r="A297" s="18" t="s">
        <v>44</v>
      </c>
      <c r="B297" s="19" t="s">
        <v>20</v>
      </c>
      <c r="C297" s="19" t="s">
        <v>357</v>
      </c>
      <c r="D297" s="21" t="s">
        <v>358</v>
      </c>
      <c r="E297" s="73" t="e" vm="46">
        <v>#VALUE!</v>
      </c>
      <c r="F297" s="18">
        <v>34701</v>
      </c>
      <c r="G297" s="19" t="s">
        <v>361</v>
      </c>
      <c r="H297" s="18">
        <v>1</v>
      </c>
      <c r="I297" s="18" t="s">
        <v>146</v>
      </c>
      <c r="J297" s="56"/>
    </row>
    <row r="298" spans="1:10" ht="15.75" customHeight="1" x14ac:dyDescent="0.2">
      <c r="A298" s="18" t="s">
        <v>44</v>
      </c>
      <c r="B298" s="19" t="s">
        <v>20</v>
      </c>
      <c r="C298" s="19" t="s">
        <v>357</v>
      </c>
      <c r="D298" s="21" t="s">
        <v>358</v>
      </c>
      <c r="E298" s="103" t="e" vm="47">
        <v>#VALUE!</v>
      </c>
      <c r="F298" s="18">
        <v>333612</v>
      </c>
      <c r="G298" s="19" t="s">
        <v>362</v>
      </c>
      <c r="H298" s="18">
        <v>10</v>
      </c>
      <c r="I298" s="18" t="s">
        <v>363</v>
      </c>
      <c r="J298" s="56"/>
    </row>
    <row r="299" spans="1:10" ht="15.75" customHeight="1" x14ac:dyDescent="0.2">
      <c r="A299" s="18" t="s">
        <v>44</v>
      </c>
      <c r="B299" s="19" t="s">
        <v>20</v>
      </c>
      <c r="C299" s="19" t="s">
        <v>357</v>
      </c>
      <c r="D299" s="21" t="s">
        <v>358</v>
      </c>
      <c r="E299" s="104"/>
      <c r="F299" s="18">
        <v>333613</v>
      </c>
      <c r="G299" s="19" t="s">
        <v>364</v>
      </c>
      <c r="H299" s="18">
        <v>10</v>
      </c>
      <c r="I299" s="18" t="s">
        <v>363</v>
      </c>
      <c r="J299" s="56"/>
    </row>
    <row r="300" spans="1:10" ht="15.75" customHeight="1" x14ac:dyDescent="0.2">
      <c r="A300" s="18" t="s">
        <v>44</v>
      </c>
      <c r="B300" s="19" t="s">
        <v>20</v>
      </c>
      <c r="C300" s="19" t="s">
        <v>357</v>
      </c>
      <c r="D300" s="21" t="s">
        <v>358</v>
      </c>
      <c r="E300" s="104"/>
      <c r="F300" s="18">
        <v>333614</v>
      </c>
      <c r="G300" s="19" t="s">
        <v>365</v>
      </c>
      <c r="H300" s="18">
        <v>10</v>
      </c>
      <c r="I300" s="18" t="s">
        <v>363</v>
      </c>
      <c r="J300" s="56"/>
    </row>
    <row r="301" spans="1:10" ht="15.75" customHeight="1" x14ac:dyDescent="0.2">
      <c r="A301" s="18" t="s">
        <v>44</v>
      </c>
      <c r="B301" s="19" t="s">
        <v>20</v>
      </c>
      <c r="C301" s="19" t="s">
        <v>357</v>
      </c>
      <c r="D301" s="21" t="s">
        <v>358</v>
      </c>
      <c r="E301" s="104"/>
      <c r="F301" s="18">
        <v>333615</v>
      </c>
      <c r="G301" s="19" t="s">
        <v>366</v>
      </c>
      <c r="H301" s="18">
        <v>10</v>
      </c>
      <c r="I301" s="18" t="s">
        <v>363</v>
      </c>
      <c r="J301" s="56"/>
    </row>
    <row r="302" spans="1:10" ht="15.75" customHeight="1" x14ac:dyDescent="0.2">
      <c r="A302" s="18" t="s">
        <v>44</v>
      </c>
      <c r="B302" s="19" t="s">
        <v>20</v>
      </c>
      <c r="C302" s="19" t="s">
        <v>357</v>
      </c>
      <c r="D302" s="21" t="s">
        <v>358</v>
      </c>
      <c r="E302" s="104"/>
      <c r="F302" s="18">
        <v>333616</v>
      </c>
      <c r="G302" s="19" t="s">
        <v>367</v>
      </c>
      <c r="H302" s="18">
        <v>10</v>
      </c>
      <c r="I302" s="18" t="s">
        <v>363</v>
      </c>
      <c r="J302" s="56"/>
    </row>
    <row r="303" spans="1:10" ht="15.75" customHeight="1" x14ac:dyDescent="0.2">
      <c r="A303" s="18" t="s">
        <v>44</v>
      </c>
      <c r="B303" s="19" t="s">
        <v>20</v>
      </c>
      <c r="C303" s="19" t="s">
        <v>357</v>
      </c>
      <c r="D303" s="21" t="s">
        <v>358</v>
      </c>
      <c r="E303" s="104"/>
      <c r="F303" s="18">
        <v>333617</v>
      </c>
      <c r="G303" s="19" t="s">
        <v>368</v>
      </c>
      <c r="H303" s="18">
        <v>1</v>
      </c>
      <c r="I303" s="18" t="s">
        <v>363</v>
      </c>
      <c r="J303" s="56"/>
    </row>
    <row r="304" spans="1:10" ht="15.75" customHeight="1" x14ac:dyDescent="0.2">
      <c r="A304" s="18" t="s">
        <v>44</v>
      </c>
      <c r="B304" s="19" t="s">
        <v>20</v>
      </c>
      <c r="C304" s="19" t="s">
        <v>357</v>
      </c>
      <c r="D304" s="21" t="s">
        <v>358</v>
      </c>
      <c r="E304" s="104"/>
      <c r="F304" s="18">
        <v>333618</v>
      </c>
      <c r="G304" s="19" t="s">
        <v>369</v>
      </c>
      <c r="H304" s="18">
        <v>1</v>
      </c>
      <c r="I304" s="18" t="s">
        <v>363</v>
      </c>
      <c r="J304" s="56"/>
    </row>
    <row r="305" spans="1:10" ht="15.75" customHeight="1" x14ac:dyDescent="0.2">
      <c r="A305" s="18" t="s">
        <v>44</v>
      </c>
      <c r="B305" s="19" t="s">
        <v>20</v>
      </c>
      <c r="C305" s="19" t="s">
        <v>357</v>
      </c>
      <c r="D305" s="21" t="s">
        <v>358</v>
      </c>
      <c r="E305" s="104"/>
      <c r="F305" s="18">
        <v>333619</v>
      </c>
      <c r="G305" s="19" t="s">
        <v>370</v>
      </c>
      <c r="H305" s="18">
        <v>1</v>
      </c>
      <c r="I305" s="18" t="s">
        <v>363</v>
      </c>
      <c r="J305" s="56"/>
    </row>
    <row r="306" spans="1:10" ht="15.75" customHeight="1" x14ac:dyDescent="0.2">
      <c r="A306" s="18" t="s">
        <v>44</v>
      </c>
      <c r="B306" s="19" t="s">
        <v>20</v>
      </c>
      <c r="C306" s="19" t="s">
        <v>357</v>
      </c>
      <c r="D306" s="21" t="s">
        <v>358</v>
      </c>
      <c r="E306" s="105"/>
      <c r="F306" s="25">
        <v>333620</v>
      </c>
      <c r="G306" s="26" t="s">
        <v>371</v>
      </c>
      <c r="H306" s="18">
        <v>1</v>
      </c>
      <c r="I306" s="18" t="s">
        <v>363</v>
      </c>
      <c r="J306" s="56"/>
    </row>
    <row r="307" spans="1:10" ht="15.75" customHeight="1" x14ac:dyDescent="0.2">
      <c r="A307" s="40"/>
      <c r="B307" s="41"/>
      <c r="C307" s="41"/>
      <c r="D307" s="42"/>
      <c r="E307" s="80"/>
      <c r="F307" s="42"/>
      <c r="G307" s="42"/>
      <c r="H307" s="41"/>
      <c r="I307" s="42"/>
    </row>
  </sheetData>
  <autoFilter ref="A2:I2" xr:uid="{00000000-0009-0000-0000-000005000000}"/>
  <mergeCells count="42">
    <mergeCell ref="E298:E306"/>
    <mergeCell ref="E263:E264"/>
    <mergeCell ref="E64:E72"/>
    <mergeCell ref="E270:E272"/>
    <mergeCell ref="E279:E281"/>
    <mergeCell ref="E247:E248"/>
    <mergeCell ref="B1:I1"/>
    <mergeCell ref="E282:E284"/>
    <mergeCell ref="E101:E109"/>
    <mergeCell ref="E161:E188"/>
    <mergeCell ref="E201:E206"/>
    <mergeCell ref="E12:E20"/>
    <mergeCell ref="E3:E11"/>
    <mergeCell ref="E21:E29"/>
    <mergeCell ref="E137:E146"/>
    <mergeCell ref="E147:E153"/>
    <mergeCell ref="E62:E63"/>
    <mergeCell ref="E39:E45"/>
    <mergeCell ref="E59:E61"/>
    <mergeCell ref="E30:E38"/>
    <mergeCell ref="E255:E257"/>
    <mergeCell ref="E56:E58"/>
    <mergeCell ref="E236:E244"/>
    <mergeCell ref="E73:E100"/>
    <mergeCell ref="E276:E278"/>
    <mergeCell ref="E265:E266"/>
    <mergeCell ref="E285:E290"/>
    <mergeCell ref="E261:E262"/>
    <mergeCell ref="E295:E296"/>
    <mergeCell ref="E267:E269"/>
    <mergeCell ref="E245:E246"/>
    <mergeCell ref="E249:E254"/>
    <mergeCell ref="E258:E260"/>
    <mergeCell ref="E273:E275"/>
    <mergeCell ref="E46:E52"/>
    <mergeCell ref="E154:E160"/>
    <mergeCell ref="E221:E235"/>
    <mergeCell ref="E189:E194"/>
    <mergeCell ref="E207:E220"/>
    <mergeCell ref="E53:E55"/>
    <mergeCell ref="E110:E136"/>
    <mergeCell ref="E195:E200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306" xr:uid="{00000000-0002-0000-0500-000000000000}">
      <formula1>0</formula1>
    </dataValidation>
  </dataValidations>
  <hyperlinks>
    <hyperlink ref="A1" location="'Menú por Categoría'!C14" display="Volver al menú principal" xr:uid="{00000000-0004-0000-05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A1:J12"/>
  <sheetViews>
    <sheetView showGridLines="0" zoomScale="70" zoomScaleNormal="70" workbookViewId="0">
      <pane ySplit="2" topLeftCell="A3" activePane="bottomLeft" state="frozen"/>
      <selection pane="bottomLeft" activeCell="J4" sqref="J4"/>
    </sheetView>
  </sheetViews>
  <sheetFormatPr baseColWidth="10" defaultColWidth="16" defaultRowHeight="15.75" customHeight="1" x14ac:dyDescent="0.2"/>
  <cols>
    <col min="1" max="1" width="22.5" style="10" customWidth="1"/>
    <col min="2" max="2" width="24.332031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6384" width="16" style="10"/>
  </cols>
  <sheetData>
    <row r="1" spans="1:10" ht="68.2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54" customHeight="1" x14ac:dyDescent="0.2">
      <c r="A3" s="18" t="s">
        <v>44</v>
      </c>
      <c r="B3" s="19" t="s">
        <v>372</v>
      </c>
      <c r="C3" s="19" t="s">
        <v>373</v>
      </c>
      <c r="D3" s="21" t="s">
        <v>374</v>
      </c>
      <c r="E3" s="74" t="e" vm="48">
        <v>#VALUE!</v>
      </c>
      <c r="F3" s="27">
        <v>345001</v>
      </c>
      <c r="G3" s="28" t="s">
        <v>375</v>
      </c>
      <c r="H3" s="18">
        <v>30</v>
      </c>
      <c r="I3" s="18" t="s">
        <v>363</v>
      </c>
      <c r="J3" s="56"/>
    </row>
    <row r="4" spans="1:10" ht="54" customHeight="1" x14ac:dyDescent="0.2">
      <c r="A4" s="18" t="s">
        <v>44</v>
      </c>
      <c r="B4" s="19" t="s">
        <v>372</v>
      </c>
      <c r="C4" s="19" t="s">
        <v>373</v>
      </c>
      <c r="D4" s="21" t="s">
        <v>376</v>
      </c>
      <c r="E4" s="29" t="e" vm="49">
        <v>#VALUE!</v>
      </c>
      <c r="F4" s="27">
        <v>345002</v>
      </c>
      <c r="G4" s="28" t="s">
        <v>377</v>
      </c>
      <c r="H4" s="18">
        <v>30</v>
      </c>
      <c r="I4" s="18" t="s">
        <v>363</v>
      </c>
      <c r="J4" s="56"/>
    </row>
    <row r="5" spans="1:10" ht="54" customHeight="1" x14ac:dyDescent="0.2">
      <c r="A5" s="18" t="s">
        <v>44</v>
      </c>
      <c r="B5" s="19" t="s">
        <v>372</v>
      </c>
      <c r="C5" s="19" t="s">
        <v>373</v>
      </c>
      <c r="D5" s="21" t="s">
        <v>378</v>
      </c>
      <c r="E5" s="29" t="e" vm="50">
        <v>#VALUE!</v>
      </c>
      <c r="F5" s="27">
        <v>345003</v>
      </c>
      <c r="G5" s="28" t="s">
        <v>379</v>
      </c>
      <c r="H5" s="18">
        <v>24</v>
      </c>
      <c r="I5" s="18" t="s">
        <v>363</v>
      </c>
      <c r="J5" s="56"/>
    </row>
    <row r="6" spans="1:10" ht="54" customHeight="1" x14ac:dyDescent="0.2">
      <c r="A6" s="18" t="s">
        <v>44</v>
      </c>
      <c r="B6" s="19" t="s">
        <v>372</v>
      </c>
      <c r="C6" s="19" t="s">
        <v>373</v>
      </c>
      <c r="D6" s="21" t="s">
        <v>380</v>
      </c>
      <c r="E6" s="29" t="e" vm="51">
        <v>#VALUE!</v>
      </c>
      <c r="F6" s="27">
        <v>345004</v>
      </c>
      <c r="G6" s="28" t="s">
        <v>381</v>
      </c>
      <c r="H6" s="18">
        <v>12</v>
      </c>
      <c r="I6" s="18" t="s">
        <v>363</v>
      </c>
      <c r="J6" s="56"/>
    </row>
    <row r="7" spans="1:10" ht="54" customHeight="1" x14ac:dyDescent="0.2">
      <c r="A7" s="18" t="s">
        <v>44</v>
      </c>
      <c r="B7" s="19" t="s">
        <v>372</v>
      </c>
      <c r="C7" s="19" t="s">
        <v>373</v>
      </c>
      <c r="D7" s="21" t="s">
        <v>378</v>
      </c>
      <c r="E7" s="29" t="e" vm="52">
        <v>#VALUE!</v>
      </c>
      <c r="F7" s="27">
        <v>345005</v>
      </c>
      <c r="G7" s="28" t="s">
        <v>382</v>
      </c>
      <c r="H7" s="18">
        <v>24</v>
      </c>
      <c r="I7" s="18" t="s">
        <v>363</v>
      </c>
      <c r="J7" s="56"/>
    </row>
    <row r="8" spans="1:10" ht="54" customHeight="1" x14ac:dyDescent="0.2">
      <c r="A8" s="18" t="s">
        <v>44</v>
      </c>
      <c r="B8" s="19" t="s">
        <v>372</v>
      </c>
      <c r="C8" s="19" t="s">
        <v>373</v>
      </c>
      <c r="D8" s="21" t="s">
        <v>380</v>
      </c>
      <c r="E8" s="29" t="e" vm="53">
        <v>#VALUE!</v>
      </c>
      <c r="F8" s="27">
        <v>345006</v>
      </c>
      <c r="G8" s="28" t="s">
        <v>383</v>
      </c>
      <c r="H8" s="18">
        <v>12</v>
      </c>
      <c r="I8" s="18" t="s">
        <v>363</v>
      </c>
      <c r="J8" s="56"/>
    </row>
    <row r="9" spans="1:10" ht="54" customHeight="1" x14ac:dyDescent="0.2">
      <c r="A9" s="18" t="s">
        <v>44</v>
      </c>
      <c r="B9" s="19" t="s">
        <v>372</v>
      </c>
      <c r="C9" s="19" t="s">
        <v>373</v>
      </c>
      <c r="D9" s="21" t="s">
        <v>384</v>
      </c>
      <c r="E9" s="23" t="e" vm="54">
        <v>#VALUE!</v>
      </c>
      <c r="F9" s="30">
        <v>45038</v>
      </c>
      <c r="G9" s="31" t="s">
        <v>385</v>
      </c>
      <c r="H9" s="18">
        <v>1</v>
      </c>
      <c r="I9" s="18" t="s">
        <v>146</v>
      </c>
      <c r="J9" s="56"/>
    </row>
    <row r="10" spans="1:10" ht="46.5" customHeight="1" x14ac:dyDescent="0.2">
      <c r="A10" s="18" t="s">
        <v>44</v>
      </c>
      <c r="B10" s="19" t="s">
        <v>372</v>
      </c>
      <c r="C10" s="19" t="s">
        <v>373</v>
      </c>
      <c r="D10" s="32" t="s">
        <v>386</v>
      </c>
      <c r="E10" s="123" t="e" vm="55">
        <v>#VALUE!</v>
      </c>
      <c r="F10" s="18">
        <v>44405</v>
      </c>
      <c r="G10" s="19" t="s">
        <v>387</v>
      </c>
      <c r="H10" s="18">
        <v>250</v>
      </c>
      <c r="I10" s="18" t="s">
        <v>363</v>
      </c>
      <c r="J10" s="56"/>
    </row>
    <row r="11" spans="1:10" ht="46.5" customHeight="1" x14ac:dyDescent="0.2">
      <c r="A11" s="18" t="s">
        <v>44</v>
      </c>
      <c r="B11" s="19" t="s">
        <v>372</v>
      </c>
      <c r="C11" s="19" t="s">
        <v>373</v>
      </c>
      <c r="D11" s="32" t="s">
        <v>386</v>
      </c>
      <c r="E11" s="123"/>
      <c r="F11" s="18">
        <v>44406</v>
      </c>
      <c r="G11" s="19" t="s">
        <v>388</v>
      </c>
      <c r="H11" s="18">
        <v>250</v>
      </c>
      <c r="I11" s="18" t="s">
        <v>363</v>
      </c>
      <c r="J11" s="56"/>
    </row>
    <row r="12" spans="1:10" ht="15.75" customHeight="1" x14ac:dyDescent="0.2">
      <c r="A12" s="40"/>
      <c r="B12" s="41"/>
      <c r="C12" s="41"/>
      <c r="D12" s="42"/>
      <c r="E12" s="80"/>
      <c r="F12" s="42"/>
      <c r="G12" s="42"/>
      <c r="H12" s="41"/>
      <c r="I12" s="42"/>
    </row>
  </sheetData>
  <mergeCells count="2">
    <mergeCell ref="B1:I1"/>
    <mergeCell ref="E10:E11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11" xr:uid="{00000000-0002-0000-0600-000000000000}">
      <formula1>0</formula1>
    </dataValidation>
  </dataValidations>
  <hyperlinks>
    <hyperlink ref="A1" location="'Menú por Categoría'!C14" display="Volver al menú principal" xr:uid="{00000000-0004-0000-06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</sheetPr>
  <dimension ref="A1:J62"/>
  <sheetViews>
    <sheetView showGridLines="0" zoomScale="70" zoomScaleNormal="70" workbookViewId="0">
      <pane ySplit="2" topLeftCell="A3" activePane="bottomLeft" state="frozen"/>
      <selection pane="bottomLeft" activeCell="G17" sqref="G17"/>
    </sheetView>
  </sheetViews>
  <sheetFormatPr baseColWidth="10" defaultColWidth="16" defaultRowHeight="15.75" customHeight="1" x14ac:dyDescent="0.2"/>
  <cols>
    <col min="1" max="1" width="22.5" style="10" customWidth="1"/>
    <col min="2" max="2" width="24.332031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6384" width="16" style="10"/>
  </cols>
  <sheetData>
    <row r="1" spans="1:10" ht="66.7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15.75" customHeight="1" x14ac:dyDescent="0.2">
      <c r="A3" s="18" t="s">
        <v>44</v>
      </c>
      <c r="B3" s="19" t="s">
        <v>389</v>
      </c>
      <c r="C3" s="20" t="s">
        <v>390</v>
      </c>
      <c r="D3" s="21" t="s">
        <v>46</v>
      </c>
      <c r="E3" s="103" t="e" vm="56">
        <v>#VALUE!</v>
      </c>
      <c r="F3" s="18" t="s">
        <v>391</v>
      </c>
      <c r="G3" s="19" t="s">
        <v>392</v>
      </c>
      <c r="H3" s="18">
        <v>1</v>
      </c>
      <c r="I3" s="18" t="s">
        <v>146</v>
      </c>
      <c r="J3" s="56"/>
    </row>
    <row r="4" spans="1:10" ht="15.75" customHeight="1" x14ac:dyDescent="0.2">
      <c r="A4" s="18" t="s">
        <v>44</v>
      </c>
      <c r="B4" s="19" t="s">
        <v>389</v>
      </c>
      <c r="C4" s="20" t="s">
        <v>390</v>
      </c>
      <c r="D4" s="21" t="s">
        <v>46</v>
      </c>
      <c r="E4" s="104"/>
      <c r="F4" s="18" t="s">
        <v>393</v>
      </c>
      <c r="G4" s="19" t="s">
        <v>394</v>
      </c>
      <c r="H4" s="18">
        <v>1</v>
      </c>
      <c r="I4" s="18" t="s">
        <v>146</v>
      </c>
      <c r="J4" s="56"/>
    </row>
    <row r="5" spans="1:10" ht="15.75" customHeight="1" x14ac:dyDescent="0.2">
      <c r="A5" s="18" t="s">
        <v>44</v>
      </c>
      <c r="B5" s="19" t="s">
        <v>389</v>
      </c>
      <c r="C5" s="20" t="s">
        <v>390</v>
      </c>
      <c r="D5" s="21" t="s">
        <v>46</v>
      </c>
      <c r="E5" s="104"/>
      <c r="F5" s="18" t="s">
        <v>395</v>
      </c>
      <c r="G5" s="19" t="s">
        <v>396</v>
      </c>
      <c r="H5" s="18">
        <v>1</v>
      </c>
      <c r="I5" s="18" t="s">
        <v>146</v>
      </c>
      <c r="J5" s="56"/>
    </row>
    <row r="6" spans="1:10" ht="15.75" customHeight="1" x14ac:dyDescent="0.2">
      <c r="A6" s="18" t="s">
        <v>44</v>
      </c>
      <c r="B6" s="19" t="s">
        <v>389</v>
      </c>
      <c r="C6" s="20" t="s">
        <v>390</v>
      </c>
      <c r="D6" s="21" t="s">
        <v>46</v>
      </c>
      <c r="E6" s="104"/>
      <c r="F6" s="18" t="s">
        <v>397</v>
      </c>
      <c r="G6" s="19" t="s">
        <v>398</v>
      </c>
      <c r="H6" s="18">
        <v>1</v>
      </c>
      <c r="I6" s="18" t="s">
        <v>146</v>
      </c>
      <c r="J6" s="56"/>
    </row>
    <row r="7" spans="1:10" ht="15.75" customHeight="1" x14ac:dyDescent="0.2">
      <c r="A7" s="18" t="s">
        <v>44</v>
      </c>
      <c r="B7" s="19" t="s">
        <v>389</v>
      </c>
      <c r="C7" s="20" t="s">
        <v>390</v>
      </c>
      <c r="D7" s="21" t="s">
        <v>46</v>
      </c>
      <c r="E7" s="104"/>
      <c r="F7" s="18" t="s">
        <v>399</v>
      </c>
      <c r="G7" s="19" t="s">
        <v>400</v>
      </c>
      <c r="H7" s="18">
        <v>1</v>
      </c>
      <c r="I7" s="18" t="s">
        <v>146</v>
      </c>
      <c r="J7" s="56"/>
    </row>
    <row r="8" spans="1:10" ht="15.75" customHeight="1" x14ac:dyDescent="0.2">
      <c r="A8" s="18" t="s">
        <v>44</v>
      </c>
      <c r="B8" s="19" t="s">
        <v>389</v>
      </c>
      <c r="C8" s="20" t="s">
        <v>390</v>
      </c>
      <c r="D8" s="21" t="s">
        <v>46</v>
      </c>
      <c r="E8" s="104"/>
      <c r="F8" s="18" t="s">
        <v>401</v>
      </c>
      <c r="G8" s="19" t="s">
        <v>402</v>
      </c>
      <c r="H8" s="18">
        <v>1</v>
      </c>
      <c r="I8" s="18" t="s">
        <v>146</v>
      </c>
      <c r="J8" s="56"/>
    </row>
    <row r="9" spans="1:10" ht="15.75" customHeight="1" x14ac:dyDescent="0.2">
      <c r="A9" s="18" t="s">
        <v>44</v>
      </c>
      <c r="B9" s="19" t="s">
        <v>389</v>
      </c>
      <c r="C9" s="20" t="s">
        <v>390</v>
      </c>
      <c r="D9" s="21" t="s">
        <v>46</v>
      </c>
      <c r="E9" s="104"/>
      <c r="F9" s="18" t="s">
        <v>403</v>
      </c>
      <c r="G9" s="19" t="s">
        <v>404</v>
      </c>
      <c r="H9" s="18">
        <v>1</v>
      </c>
      <c r="I9" s="18" t="s">
        <v>146</v>
      </c>
      <c r="J9" s="56"/>
    </row>
    <row r="10" spans="1:10" ht="15.75" customHeight="1" x14ac:dyDescent="0.2">
      <c r="A10" s="18" t="s">
        <v>44</v>
      </c>
      <c r="B10" s="19" t="s">
        <v>389</v>
      </c>
      <c r="C10" s="20" t="s">
        <v>390</v>
      </c>
      <c r="D10" s="21" t="s">
        <v>46</v>
      </c>
      <c r="E10" s="104"/>
      <c r="F10" s="18" t="s">
        <v>405</v>
      </c>
      <c r="G10" s="19" t="s">
        <v>406</v>
      </c>
      <c r="H10" s="18">
        <v>1</v>
      </c>
      <c r="I10" s="18" t="s">
        <v>146</v>
      </c>
      <c r="J10" s="56"/>
    </row>
    <row r="11" spans="1:10" ht="15.75" customHeight="1" x14ac:dyDescent="0.2">
      <c r="A11" s="18" t="s">
        <v>44</v>
      </c>
      <c r="B11" s="19" t="s">
        <v>389</v>
      </c>
      <c r="C11" s="20" t="s">
        <v>390</v>
      </c>
      <c r="D11" s="21" t="s">
        <v>46</v>
      </c>
      <c r="E11" s="104"/>
      <c r="F11" s="18" t="s">
        <v>407</v>
      </c>
      <c r="G11" s="19" t="s">
        <v>408</v>
      </c>
      <c r="H11" s="18">
        <v>10</v>
      </c>
      <c r="I11" s="18" t="s">
        <v>146</v>
      </c>
      <c r="J11" s="56"/>
    </row>
    <row r="12" spans="1:10" ht="15.75" customHeight="1" x14ac:dyDescent="0.2">
      <c r="A12" s="18" t="s">
        <v>44</v>
      </c>
      <c r="B12" s="19" t="s">
        <v>389</v>
      </c>
      <c r="C12" s="20" t="s">
        <v>390</v>
      </c>
      <c r="D12" s="21" t="s">
        <v>46</v>
      </c>
      <c r="E12" s="104"/>
      <c r="F12" s="18" t="s">
        <v>409</v>
      </c>
      <c r="G12" s="19" t="s">
        <v>410</v>
      </c>
      <c r="H12" s="18">
        <v>10</v>
      </c>
      <c r="I12" s="18" t="s">
        <v>146</v>
      </c>
      <c r="J12" s="56"/>
    </row>
    <row r="13" spans="1:10" ht="15.75" customHeight="1" x14ac:dyDescent="0.2">
      <c r="A13" s="18" t="s">
        <v>44</v>
      </c>
      <c r="B13" s="19" t="s">
        <v>389</v>
      </c>
      <c r="C13" s="20" t="s">
        <v>390</v>
      </c>
      <c r="D13" s="21" t="s">
        <v>46</v>
      </c>
      <c r="E13" s="104"/>
      <c r="F13" s="18" t="s">
        <v>411</v>
      </c>
      <c r="G13" s="19" t="s">
        <v>412</v>
      </c>
      <c r="H13" s="18">
        <v>10</v>
      </c>
      <c r="I13" s="18" t="s">
        <v>146</v>
      </c>
      <c r="J13" s="56"/>
    </row>
    <row r="14" spans="1:10" ht="15.75" customHeight="1" x14ac:dyDescent="0.2">
      <c r="A14" s="18" t="s">
        <v>44</v>
      </c>
      <c r="B14" s="19" t="s">
        <v>389</v>
      </c>
      <c r="C14" s="20" t="s">
        <v>390</v>
      </c>
      <c r="D14" s="21" t="s">
        <v>46</v>
      </c>
      <c r="E14" s="105"/>
      <c r="F14" s="18" t="s">
        <v>413</v>
      </c>
      <c r="G14" s="19" t="s">
        <v>414</v>
      </c>
      <c r="H14" s="18">
        <v>5</v>
      </c>
      <c r="I14" s="18" t="s">
        <v>146</v>
      </c>
      <c r="J14" s="56"/>
    </row>
    <row r="15" spans="1:10" ht="17.25" customHeight="1" x14ac:dyDescent="0.2">
      <c r="A15" s="18" t="s">
        <v>44</v>
      </c>
      <c r="B15" s="19" t="s">
        <v>389</v>
      </c>
      <c r="C15" s="20" t="s">
        <v>415</v>
      </c>
      <c r="D15" s="21" t="s">
        <v>77</v>
      </c>
      <c r="E15" s="103" t="e" vm="57">
        <v>#VALUE!</v>
      </c>
      <c r="F15" s="18">
        <v>341205</v>
      </c>
      <c r="G15" s="19" t="s">
        <v>416</v>
      </c>
      <c r="H15" s="18">
        <v>48</v>
      </c>
      <c r="I15" s="18" t="s">
        <v>363</v>
      </c>
      <c r="J15" s="56"/>
    </row>
    <row r="16" spans="1:10" ht="17.25" customHeight="1" x14ac:dyDescent="0.2">
      <c r="A16" s="18" t="s">
        <v>44</v>
      </c>
      <c r="B16" s="19" t="s">
        <v>389</v>
      </c>
      <c r="C16" s="20" t="s">
        <v>415</v>
      </c>
      <c r="D16" s="21" t="s">
        <v>77</v>
      </c>
      <c r="E16" s="104"/>
      <c r="F16" s="18">
        <v>341206</v>
      </c>
      <c r="G16" s="19" t="s">
        <v>417</v>
      </c>
      <c r="H16" s="18">
        <v>36</v>
      </c>
      <c r="I16" s="18" t="s">
        <v>363</v>
      </c>
      <c r="J16" s="56"/>
    </row>
    <row r="17" spans="1:10" ht="17.25" customHeight="1" x14ac:dyDescent="0.2">
      <c r="A17" s="18" t="s">
        <v>44</v>
      </c>
      <c r="B17" s="19" t="s">
        <v>389</v>
      </c>
      <c r="C17" s="20" t="s">
        <v>415</v>
      </c>
      <c r="D17" s="21" t="s">
        <v>77</v>
      </c>
      <c r="E17" s="104"/>
      <c r="F17" s="18">
        <v>341208</v>
      </c>
      <c r="G17" s="19" t="s">
        <v>418</v>
      </c>
      <c r="H17" s="18">
        <v>18</v>
      </c>
      <c r="I17" s="18" t="s">
        <v>363</v>
      </c>
      <c r="J17" s="56"/>
    </row>
    <row r="18" spans="1:10" ht="17.25" customHeight="1" x14ac:dyDescent="0.2">
      <c r="A18" s="18" t="s">
        <v>44</v>
      </c>
      <c r="B18" s="19" t="s">
        <v>389</v>
      </c>
      <c r="C18" s="20" t="s">
        <v>415</v>
      </c>
      <c r="D18" s="21" t="s">
        <v>77</v>
      </c>
      <c r="E18" s="105"/>
      <c r="F18" s="18">
        <v>341210</v>
      </c>
      <c r="G18" s="19" t="s">
        <v>419</v>
      </c>
      <c r="H18" s="18">
        <v>10</v>
      </c>
      <c r="I18" s="18" t="s">
        <v>363</v>
      </c>
      <c r="J18" s="56"/>
    </row>
    <row r="19" spans="1:10" ht="18" customHeight="1" x14ac:dyDescent="0.2">
      <c r="A19" s="18" t="s">
        <v>44</v>
      </c>
      <c r="B19" s="19" t="s">
        <v>389</v>
      </c>
      <c r="C19" s="20" t="s">
        <v>415</v>
      </c>
      <c r="D19" s="21" t="s">
        <v>77</v>
      </c>
      <c r="E19" s="103" t="e" vm="58">
        <v>#VALUE!</v>
      </c>
      <c r="F19" s="18">
        <v>341105</v>
      </c>
      <c r="G19" s="19" t="s">
        <v>420</v>
      </c>
      <c r="H19" s="18">
        <v>36</v>
      </c>
      <c r="I19" s="18" t="s">
        <v>363</v>
      </c>
      <c r="J19" s="56"/>
    </row>
    <row r="20" spans="1:10" ht="18" customHeight="1" x14ac:dyDescent="0.2">
      <c r="A20" s="18" t="s">
        <v>44</v>
      </c>
      <c r="B20" s="19" t="s">
        <v>389</v>
      </c>
      <c r="C20" s="20" t="s">
        <v>415</v>
      </c>
      <c r="D20" s="21" t="s">
        <v>77</v>
      </c>
      <c r="E20" s="104"/>
      <c r="F20" s="18">
        <v>341106</v>
      </c>
      <c r="G20" s="19" t="s">
        <v>421</v>
      </c>
      <c r="H20" s="18">
        <v>30</v>
      </c>
      <c r="I20" s="18" t="s">
        <v>363</v>
      </c>
      <c r="J20" s="56"/>
    </row>
    <row r="21" spans="1:10" ht="18" customHeight="1" x14ac:dyDescent="0.2">
      <c r="A21" s="18" t="s">
        <v>44</v>
      </c>
      <c r="B21" s="19" t="s">
        <v>389</v>
      </c>
      <c r="C21" s="20" t="s">
        <v>415</v>
      </c>
      <c r="D21" s="21" t="s">
        <v>77</v>
      </c>
      <c r="E21" s="104"/>
      <c r="F21" s="18">
        <v>341108</v>
      </c>
      <c r="G21" s="19" t="s">
        <v>422</v>
      </c>
      <c r="H21" s="18">
        <v>30</v>
      </c>
      <c r="I21" s="18" t="s">
        <v>363</v>
      </c>
      <c r="J21" s="56"/>
    </row>
    <row r="22" spans="1:10" ht="18" customHeight="1" x14ac:dyDescent="0.2">
      <c r="A22" s="18" t="s">
        <v>44</v>
      </c>
      <c r="B22" s="19" t="s">
        <v>389</v>
      </c>
      <c r="C22" s="20" t="s">
        <v>415</v>
      </c>
      <c r="D22" s="21" t="s">
        <v>77</v>
      </c>
      <c r="E22" s="105"/>
      <c r="F22" s="18">
        <v>341110</v>
      </c>
      <c r="G22" s="19" t="s">
        <v>423</v>
      </c>
      <c r="H22" s="18">
        <v>12</v>
      </c>
      <c r="I22" s="18" t="s">
        <v>363</v>
      </c>
      <c r="J22" s="56"/>
    </row>
    <row r="23" spans="1:10" ht="15.75" customHeight="1" x14ac:dyDescent="0.2">
      <c r="A23" s="18" t="s">
        <v>44</v>
      </c>
      <c r="B23" s="19" t="s">
        <v>389</v>
      </c>
      <c r="C23" s="20" t="s">
        <v>415</v>
      </c>
      <c r="D23" s="21" t="s">
        <v>77</v>
      </c>
      <c r="E23" s="103" t="e" vm="59">
        <v>#VALUE!</v>
      </c>
      <c r="F23" s="18">
        <v>341405</v>
      </c>
      <c r="G23" s="19" t="s">
        <v>424</v>
      </c>
      <c r="H23" s="18">
        <v>30</v>
      </c>
      <c r="I23" s="18" t="s">
        <v>363</v>
      </c>
      <c r="J23" s="56"/>
    </row>
    <row r="24" spans="1:10" ht="15.75" customHeight="1" x14ac:dyDescent="0.2">
      <c r="A24" s="18" t="s">
        <v>44</v>
      </c>
      <c r="B24" s="19" t="s">
        <v>389</v>
      </c>
      <c r="C24" s="20" t="s">
        <v>415</v>
      </c>
      <c r="D24" s="21" t="s">
        <v>77</v>
      </c>
      <c r="E24" s="104"/>
      <c r="F24" s="18">
        <v>341406</v>
      </c>
      <c r="G24" s="19" t="s">
        <v>425</v>
      </c>
      <c r="H24" s="18">
        <v>24</v>
      </c>
      <c r="I24" s="18" t="s">
        <v>363</v>
      </c>
      <c r="J24" s="56"/>
    </row>
    <row r="25" spans="1:10" ht="15.75" customHeight="1" x14ac:dyDescent="0.2">
      <c r="A25" s="18" t="s">
        <v>44</v>
      </c>
      <c r="B25" s="19" t="s">
        <v>389</v>
      </c>
      <c r="C25" s="20" t="s">
        <v>415</v>
      </c>
      <c r="D25" s="21" t="s">
        <v>77</v>
      </c>
      <c r="E25" s="104"/>
      <c r="F25" s="18">
        <v>341408</v>
      </c>
      <c r="G25" s="19" t="s">
        <v>426</v>
      </c>
      <c r="H25" s="18">
        <v>20</v>
      </c>
      <c r="I25" s="18" t="s">
        <v>363</v>
      </c>
      <c r="J25" s="56"/>
    </row>
    <row r="26" spans="1:10" ht="15.75" customHeight="1" x14ac:dyDescent="0.2">
      <c r="A26" s="18" t="s">
        <v>44</v>
      </c>
      <c r="B26" s="19" t="s">
        <v>389</v>
      </c>
      <c r="C26" s="20" t="s">
        <v>415</v>
      </c>
      <c r="D26" s="21" t="s">
        <v>77</v>
      </c>
      <c r="E26" s="105"/>
      <c r="F26" s="18">
        <v>341410</v>
      </c>
      <c r="G26" s="19" t="s">
        <v>427</v>
      </c>
      <c r="H26" s="18">
        <v>10</v>
      </c>
      <c r="I26" s="18" t="s">
        <v>363</v>
      </c>
      <c r="J26" s="56"/>
    </row>
    <row r="27" spans="1:10" ht="15.75" customHeight="1" x14ac:dyDescent="0.2">
      <c r="A27" s="18" t="s">
        <v>44</v>
      </c>
      <c r="B27" s="19" t="s">
        <v>389</v>
      </c>
      <c r="C27" s="20" t="s">
        <v>415</v>
      </c>
      <c r="D27" s="21" t="s">
        <v>77</v>
      </c>
      <c r="E27" s="103" t="e" vm="60">
        <v>#VALUE!</v>
      </c>
      <c r="F27" s="18">
        <v>341005</v>
      </c>
      <c r="G27" s="19" t="s">
        <v>428</v>
      </c>
      <c r="H27" s="18">
        <v>50</v>
      </c>
      <c r="I27" s="18" t="s">
        <v>363</v>
      </c>
      <c r="J27" s="56"/>
    </row>
    <row r="28" spans="1:10" ht="15.75" customHeight="1" x14ac:dyDescent="0.2">
      <c r="A28" s="18" t="s">
        <v>44</v>
      </c>
      <c r="B28" s="19" t="s">
        <v>389</v>
      </c>
      <c r="C28" s="20" t="s">
        <v>415</v>
      </c>
      <c r="D28" s="21" t="s">
        <v>77</v>
      </c>
      <c r="E28" s="104"/>
      <c r="F28" s="18">
        <v>341006</v>
      </c>
      <c r="G28" s="19" t="s">
        <v>429</v>
      </c>
      <c r="H28" s="18">
        <v>30</v>
      </c>
      <c r="I28" s="18" t="s">
        <v>363</v>
      </c>
      <c r="J28" s="56"/>
    </row>
    <row r="29" spans="1:10" ht="15.75" customHeight="1" x14ac:dyDescent="0.2">
      <c r="A29" s="18" t="s">
        <v>44</v>
      </c>
      <c r="B29" s="19" t="s">
        <v>389</v>
      </c>
      <c r="C29" s="20" t="s">
        <v>415</v>
      </c>
      <c r="D29" s="21" t="s">
        <v>77</v>
      </c>
      <c r="E29" s="104"/>
      <c r="F29" s="18">
        <v>341008</v>
      </c>
      <c r="G29" s="19" t="s">
        <v>430</v>
      </c>
      <c r="H29" s="18">
        <v>20</v>
      </c>
      <c r="I29" s="18" t="s">
        <v>363</v>
      </c>
      <c r="J29" s="56"/>
    </row>
    <row r="30" spans="1:10" ht="15.75" customHeight="1" x14ac:dyDescent="0.2">
      <c r="A30" s="18" t="s">
        <v>44</v>
      </c>
      <c r="B30" s="19" t="s">
        <v>389</v>
      </c>
      <c r="C30" s="20" t="s">
        <v>415</v>
      </c>
      <c r="D30" s="21" t="s">
        <v>77</v>
      </c>
      <c r="E30" s="105"/>
      <c r="F30" s="18">
        <v>341010</v>
      </c>
      <c r="G30" s="19" t="s">
        <v>431</v>
      </c>
      <c r="H30" s="18">
        <v>12</v>
      </c>
      <c r="I30" s="18" t="s">
        <v>363</v>
      </c>
      <c r="J30" s="56"/>
    </row>
    <row r="31" spans="1:10" ht="15.75" customHeight="1" x14ac:dyDescent="0.2">
      <c r="A31" s="18" t="s">
        <v>44</v>
      </c>
      <c r="B31" s="19" t="s">
        <v>389</v>
      </c>
      <c r="C31" s="20" t="s">
        <v>415</v>
      </c>
      <c r="D31" s="21" t="s">
        <v>77</v>
      </c>
      <c r="E31" s="103" t="e" vm="61">
        <v>#VALUE!</v>
      </c>
      <c r="F31" s="18">
        <v>341505</v>
      </c>
      <c r="G31" s="19" t="s">
        <v>432</v>
      </c>
      <c r="H31" s="18">
        <v>20</v>
      </c>
      <c r="I31" s="18" t="s">
        <v>363</v>
      </c>
      <c r="J31" s="56"/>
    </row>
    <row r="32" spans="1:10" ht="15.75" customHeight="1" x14ac:dyDescent="0.2">
      <c r="A32" s="18" t="s">
        <v>44</v>
      </c>
      <c r="B32" s="19" t="s">
        <v>389</v>
      </c>
      <c r="C32" s="20" t="s">
        <v>415</v>
      </c>
      <c r="D32" s="21" t="s">
        <v>77</v>
      </c>
      <c r="E32" s="104"/>
      <c r="F32" s="18">
        <v>341506</v>
      </c>
      <c r="G32" s="19" t="s">
        <v>433</v>
      </c>
      <c r="H32" s="18">
        <v>20</v>
      </c>
      <c r="I32" s="18" t="s">
        <v>363</v>
      </c>
      <c r="J32" s="56"/>
    </row>
    <row r="33" spans="1:10" ht="15.75" customHeight="1" x14ac:dyDescent="0.2">
      <c r="A33" s="18" t="s">
        <v>44</v>
      </c>
      <c r="B33" s="19" t="s">
        <v>389</v>
      </c>
      <c r="C33" s="20" t="s">
        <v>415</v>
      </c>
      <c r="D33" s="21" t="s">
        <v>77</v>
      </c>
      <c r="E33" s="104"/>
      <c r="F33" s="18">
        <v>341508</v>
      </c>
      <c r="G33" s="19" t="s">
        <v>434</v>
      </c>
      <c r="H33" s="18">
        <v>10</v>
      </c>
      <c r="I33" s="18" t="s">
        <v>363</v>
      </c>
      <c r="J33" s="56"/>
    </row>
    <row r="34" spans="1:10" ht="15.75" customHeight="1" x14ac:dyDescent="0.2">
      <c r="A34" s="18" t="s">
        <v>44</v>
      </c>
      <c r="B34" s="19" t="s">
        <v>389</v>
      </c>
      <c r="C34" s="20" t="s">
        <v>415</v>
      </c>
      <c r="D34" s="21" t="s">
        <v>77</v>
      </c>
      <c r="E34" s="105"/>
      <c r="F34" s="18">
        <v>341510</v>
      </c>
      <c r="G34" s="19" t="s">
        <v>435</v>
      </c>
      <c r="H34" s="18">
        <v>6</v>
      </c>
      <c r="I34" s="18" t="s">
        <v>363</v>
      </c>
      <c r="J34" s="56"/>
    </row>
    <row r="35" spans="1:10" ht="15.75" customHeight="1" x14ac:dyDescent="0.2">
      <c r="A35" s="18" t="s">
        <v>44</v>
      </c>
      <c r="B35" s="19" t="s">
        <v>389</v>
      </c>
      <c r="C35" s="20" t="s">
        <v>415</v>
      </c>
      <c r="D35" s="21" t="s">
        <v>77</v>
      </c>
      <c r="E35" s="103" t="e" vm="62">
        <v>#VALUE!</v>
      </c>
      <c r="F35" s="18">
        <v>341305</v>
      </c>
      <c r="G35" s="19" t="s">
        <v>436</v>
      </c>
      <c r="H35" s="18">
        <v>18</v>
      </c>
      <c r="I35" s="18" t="s">
        <v>363</v>
      </c>
      <c r="J35" s="56"/>
    </row>
    <row r="36" spans="1:10" ht="15.75" customHeight="1" x14ac:dyDescent="0.2">
      <c r="A36" s="18" t="s">
        <v>44</v>
      </c>
      <c r="B36" s="19" t="s">
        <v>389</v>
      </c>
      <c r="C36" s="20" t="s">
        <v>415</v>
      </c>
      <c r="D36" s="21" t="s">
        <v>77</v>
      </c>
      <c r="E36" s="104"/>
      <c r="F36" s="18">
        <v>341306</v>
      </c>
      <c r="G36" s="19" t="s">
        <v>437</v>
      </c>
      <c r="H36" s="18">
        <v>10</v>
      </c>
      <c r="I36" s="18" t="s">
        <v>363</v>
      </c>
      <c r="J36" s="56"/>
    </row>
    <row r="37" spans="1:10" ht="15.75" customHeight="1" x14ac:dyDescent="0.2">
      <c r="A37" s="18" t="s">
        <v>44</v>
      </c>
      <c r="B37" s="19" t="s">
        <v>389</v>
      </c>
      <c r="C37" s="20" t="s">
        <v>415</v>
      </c>
      <c r="D37" s="21" t="s">
        <v>77</v>
      </c>
      <c r="E37" s="104"/>
      <c r="F37" s="18">
        <v>341308</v>
      </c>
      <c r="G37" s="19" t="s">
        <v>438</v>
      </c>
      <c r="H37" s="18">
        <v>9</v>
      </c>
      <c r="I37" s="18" t="s">
        <v>363</v>
      </c>
      <c r="J37" s="56"/>
    </row>
    <row r="38" spans="1:10" ht="15.75" customHeight="1" x14ac:dyDescent="0.2">
      <c r="A38" s="18" t="s">
        <v>44</v>
      </c>
      <c r="B38" s="19" t="s">
        <v>389</v>
      </c>
      <c r="C38" s="20" t="s">
        <v>415</v>
      </c>
      <c r="D38" s="21" t="s">
        <v>77</v>
      </c>
      <c r="E38" s="105"/>
      <c r="F38" s="18">
        <v>341310</v>
      </c>
      <c r="G38" s="19" t="s">
        <v>439</v>
      </c>
      <c r="H38" s="18">
        <v>6</v>
      </c>
      <c r="I38" s="18" t="s">
        <v>363</v>
      </c>
      <c r="J38" s="56"/>
    </row>
    <row r="39" spans="1:10" ht="15.75" customHeight="1" x14ac:dyDescent="0.2">
      <c r="A39" s="18" t="s">
        <v>44</v>
      </c>
      <c r="B39" s="19" t="s">
        <v>389</v>
      </c>
      <c r="C39" s="20" t="s">
        <v>415</v>
      </c>
      <c r="D39" s="21" t="s">
        <v>77</v>
      </c>
      <c r="E39" s="103" t="e" vm="63">
        <v>#VALUE!</v>
      </c>
      <c r="F39" s="18">
        <v>41312</v>
      </c>
      <c r="G39" s="19" t="s">
        <v>440</v>
      </c>
      <c r="H39" s="18">
        <v>18</v>
      </c>
      <c r="I39" s="18" t="s">
        <v>363</v>
      </c>
      <c r="J39" s="56"/>
    </row>
    <row r="40" spans="1:10" ht="15.75" customHeight="1" x14ac:dyDescent="0.2">
      <c r="A40" s="18" t="s">
        <v>44</v>
      </c>
      <c r="B40" s="19" t="s">
        <v>389</v>
      </c>
      <c r="C40" s="20" t="s">
        <v>415</v>
      </c>
      <c r="D40" s="21" t="s">
        <v>77</v>
      </c>
      <c r="E40" s="104"/>
      <c r="F40" s="18">
        <v>341313</v>
      </c>
      <c r="G40" s="19" t="s">
        <v>441</v>
      </c>
      <c r="H40" s="18">
        <v>24</v>
      </c>
      <c r="I40" s="18" t="s">
        <v>363</v>
      </c>
      <c r="J40" s="56"/>
    </row>
    <row r="41" spans="1:10" ht="15.75" customHeight="1" x14ac:dyDescent="0.2">
      <c r="A41" s="18" t="s">
        <v>44</v>
      </c>
      <c r="B41" s="19" t="s">
        <v>389</v>
      </c>
      <c r="C41" s="20" t="s">
        <v>415</v>
      </c>
      <c r="D41" s="21" t="s">
        <v>77</v>
      </c>
      <c r="E41" s="104"/>
      <c r="F41" s="18">
        <v>341314</v>
      </c>
      <c r="G41" s="19" t="s">
        <v>442</v>
      </c>
      <c r="H41" s="18">
        <v>18</v>
      </c>
      <c r="I41" s="18" t="s">
        <v>363</v>
      </c>
      <c r="J41" s="56"/>
    </row>
    <row r="42" spans="1:10" ht="15.75" customHeight="1" x14ac:dyDescent="0.2">
      <c r="A42" s="18" t="s">
        <v>44</v>
      </c>
      <c r="B42" s="19" t="s">
        <v>389</v>
      </c>
      <c r="C42" s="20" t="s">
        <v>415</v>
      </c>
      <c r="D42" s="21" t="s">
        <v>77</v>
      </c>
      <c r="E42" s="104"/>
      <c r="F42" s="18">
        <v>341315</v>
      </c>
      <c r="G42" s="19" t="s">
        <v>443</v>
      </c>
      <c r="H42" s="18">
        <v>9</v>
      </c>
      <c r="I42" s="18" t="s">
        <v>363</v>
      </c>
      <c r="J42" s="56"/>
    </row>
    <row r="43" spans="1:10" ht="15.75" customHeight="1" x14ac:dyDescent="0.2">
      <c r="A43" s="18" t="s">
        <v>44</v>
      </c>
      <c r="B43" s="19" t="s">
        <v>389</v>
      </c>
      <c r="C43" s="20" t="s">
        <v>415</v>
      </c>
      <c r="D43" s="21" t="s">
        <v>77</v>
      </c>
      <c r="E43" s="105"/>
      <c r="F43" s="18">
        <v>341316</v>
      </c>
      <c r="G43" s="19" t="s">
        <v>444</v>
      </c>
      <c r="H43" s="18">
        <v>9</v>
      </c>
      <c r="I43" s="18" t="s">
        <v>363</v>
      </c>
      <c r="J43" s="56"/>
    </row>
    <row r="44" spans="1:10" ht="33" customHeight="1" x14ac:dyDescent="0.2">
      <c r="A44" s="18" t="s">
        <v>44</v>
      </c>
      <c r="B44" s="19" t="s">
        <v>389</v>
      </c>
      <c r="C44" s="20" t="s">
        <v>415</v>
      </c>
      <c r="D44" s="21" t="s">
        <v>77</v>
      </c>
      <c r="E44" s="103" t="e" vm="64">
        <v>#VALUE!</v>
      </c>
      <c r="F44" s="18">
        <v>41608</v>
      </c>
      <c r="G44" s="19" t="s">
        <v>445</v>
      </c>
      <c r="H44" s="18">
        <v>1</v>
      </c>
      <c r="I44" s="18" t="s">
        <v>363</v>
      </c>
      <c r="J44" s="56"/>
    </row>
    <row r="45" spans="1:10" ht="33" customHeight="1" x14ac:dyDescent="0.2">
      <c r="A45" s="18" t="s">
        <v>44</v>
      </c>
      <c r="B45" s="19" t="s">
        <v>389</v>
      </c>
      <c r="C45" s="20" t="s">
        <v>415</v>
      </c>
      <c r="D45" s="21" t="s">
        <v>77</v>
      </c>
      <c r="E45" s="105"/>
      <c r="F45" s="18">
        <v>41610</v>
      </c>
      <c r="G45" s="19" t="s">
        <v>446</v>
      </c>
      <c r="H45" s="18">
        <v>1</v>
      </c>
      <c r="I45" s="18" t="s">
        <v>363</v>
      </c>
      <c r="J45" s="56"/>
    </row>
    <row r="46" spans="1:10" ht="16.5" customHeight="1" x14ac:dyDescent="0.2">
      <c r="A46" s="18" t="s">
        <v>44</v>
      </c>
      <c r="B46" s="19" t="s">
        <v>389</v>
      </c>
      <c r="C46" s="20" t="s">
        <v>415</v>
      </c>
      <c r="D46" s="21" t="s">
        <v>77</v>
      </c>
      <c r="E46" s="103" t="e" vm="65">
        <v>#VALUE!</v>
      </c>
      <c r="F46" s="18">
        <v>341705</v>
      </c>
      <c r="G46" s="19" t="s">
        <v>447</v>
      </c>
      <c r="H46" s="18">
        <v>18</v>
      </c>
      <c r="I46" s="18" t="s">
        <v>363</v>
      </c>
      <c r="J46" s="56"/>
    </row>
    <row r="47" spans="1:10" ht="16.5" customHeight="1" x14ac:dyDescent="0.2">
      <c r="A47" s="18" t="s">
        <v>44</v>
      </c>
      <c r="B47" s="19" t="s">
        <v>389</v>
      </c>
      <c r="C47" s="20" t="s">
        <v>415</v>
      </c>
      <c r="D47" s="21" t="s">
        <v>77</v>
      </c>
      <c r="E47" s="104"/>
      <c r="F47" s="18">
        <v>341706</v>
      </c>
      <c r="G47" s="19" t="s">
        <v>448</v>
      </c>
      <c r="H47" s="18">
        <v>18</v>
      </c>
      <c r="I47" s="18" t="s">
        <v>363</v>
      </c>
      <c r="J47" s="56"/>
    </row>
    <row r="48" spans="1:10" ht="16.5" customHeight="1" x14ac:dyDescent="0.2">
      <c r="A48" s="18" t="s">
        <v>44</v>
      </c>
      <c r="B48" s="19" t="s">
        <v>389</v>
      </c>
      <c r="C48" s="20" t="s">
        <v>415</v>
      </c>
      <c r="D48" s="21" t="s">
        <v>77</v>
      </c>
      <c r="E48" s="104"/>
      <c r="F48" s="18">
        <v>341708</v>
      </c>
      <c r="G48" s="19" t="s">
        <v>449</v>
      </c>
      <c r="H48" s="18">
        <v>12</v>
      </c>
      <c r="I48" s="18" t="s">
        <v>363</v>
      </c>
      <c r="J48" s="56"/>
    </row>
    <row r="49" spans="1:10" ht="16.5" customHeight="1" x14ac:dyDescent="0.2">
      <c r="A49" s="18" t="s">
        <v>44</v>
      </c>
      <c r="B49" s="19" t="s">
        <v>389</v>
      </c>
      <c r="C49" s="20" t="s">
        <v>415</v>
      </c>
      <c r="D49" s="21" t="s">
        <v>77</v>
      </c>
      <c r="E49" s="105"/>
      <c r="F49" s="18">
        <v>341710</v>
      </c>
      <c r="G49" s="19" t="s">
        <v>450</v>
      </c>
      <c r="H49" s="18">
        <v>10</v>
      </c>
      <c r="I49" s="18" t="s">
        <v>363</v>
      </c>
      <c r="J49" s="56"/>
    </row>
    <row r="50" spans="1:10" ht="15.75" customHeight="1" x14ac:dyDescent="0.2">
      <c r="A50" s="18" t="s">
        <v>44</v>
      </c>
      <c r="B50" s="19" t="s">
        <v>389</v>
      </c>
      <c r="C50" s="20" t="s">
        <v>415</v>
      </c>
      <c r="D50" s="21" t="s">
        <v>77</v>
      </c>
      <c r="E50" s="103" t="e" vm="66">
        <v>#VALUE!</v>
      </c>
      <c r="F50" s="18">
        <v>41712</v>
      </c>
      <c r="G50" s="19" t="s">
        <v>451</v>
      </c>
      <c r="H50" s="18">
        <v>15</v>
      </c>
      <c r="I50" s="18" t="s">
        <v>363</v>
      </c>
      <c r="J50" s="56"/>
    </row>
    <row r="51" spans="1:10" ht="15.75" customHeight="1" x14ac:dyDescent="0.2">
      <c r="A51" s="18" t="s">
        <v>44</v>
      </c>
      <c r="B51" s="19" t="s">
        <v>389</v>
      </c>
      <c r="C51" s="20" t="s">
        <v>415</v>
      </c>
      <c r="D51" s="21" t="s">
        <v>77</v>
      </c>
      <c r="E51" s="104"/>
      <c r="F51" s="18">
        <v>341713</v>
      </c>
      <c r="G51" s="19" t="s">
        <v>452</v>
      </c>
      <c r="H51" s="18">
        <v>15</v>
      </c>
      <c r="I51" s="18" t="s">
        <v>363</v>
      </c>
      <c r="J51" s="56"/>
    </row>
    <row r="52" spans="1:10" ht="15.75" customHeight="1" x14ac:dyDescent="0.2">
      <c r="A52" s="18" t="s">
        <v>44</v>
      </c>
      <c r="B52" s="19" t="s">
        <v>389</v>
      </c>
      <c r="C52" s="20" t="s">
        <v>415</v>
      </c>
      <c r="D52" s="21" t="s">
        <v>77</v>
      </c>
      <c r="E52" s="104"/>
      <c r="F52" s="18">
        <v>341714</v>
      </c>
      <c r="G52" s="19" t="s">
        <v>453</v>
      </c>
      <c r="H52" s="18">
        <v>15</v>
      </c>
      <c r="I52" s="18" t="s">
        <v>363</v>
      </c>
      <c r="J52" s="56"/>
    </row>
    <row r="53" spans="1:10" ht="15.75" customHeight="1" x14ac:dyDescent="0.2">
      <c r="A53" s="18" t="s">
        <v>44</v>
      </c>
      <c r="B53" s="19" t="s">
        <v>389</v>
      </c>
      <c r="C53" s="20" t="s">
        <v>415</v>
      </c>
      <c r="D53" s="21" t="s">
        <v>77</v>
      </c>
      <c r="E53" s="104"/>
      <c r="F53" s="18">
        <v>341715</v>
      </c>
      <c r="G53" s="19" t="s">
        <v>454</v>
      </c>
      <c r="H53" s="18">
        <v>15</v>
      </c>
      <c r="I53" s="18" t="s">
        <v>363</v>
      </c>
      <c r="J53" s="56"/>
    </row>
    <row r="54" spans="1:10" ht="15.75" customHeight="1" x14ac:dyDescent="0.2">
      <c r="A54" s="18" t="s">
        <v>44</v>
      </c>
      <c r="B54" s="19" t="s">
        <v>389</v>
      </c>
      <c r="C54" s="20" t="s">
        <v>415</v>
      </c>
      <c r="D54" s="21" t="s">
        <v>77</v>
      </c>
      <c r="E54" s="105"/>
      <c r="F54" s="18">
        <v>341716</v>
      </c>
      <c r="G54" s="19" t="s">
        <v>455</v>
      </c>
      <c r="H54" s="18">
        <v>10</v>
      </c>
      <c r="I54" s="18" t="s">
        <v>363</v>
      </c>
      <c r="J54" s="56"/>
    </row>
    <row r="55" spans="1:10" ht="18.75" customHeight="1" x14ac:dyDescent="0.2">
      <c r="A55" s="18" t="s">
        <v>44</v>
      </c>
      <c r="B55" s="19" t="s">
        <v>389</v>
      </c>
      <c r="C55" s="20" t="s">
        <v>415</v>
      </c>
      <c r="D55" s="21" t="s">
        <v>77</v>
      </c>
      <c r="E55" s="103" t="e" vm="67">
        <v>#VALUE!</v>
      </c>
      <c r="F55" s="18">
        <v>41805</v>
      </c>
      <c r="G55" s="19" t="s">
        <v>456</v>
      </c>
      <c r="H55" s="18">
        <v>10</v>
      </c>
      <c r="I55" s="18" t="s">
        <v>48</v>
      </c>
      <c r="J55" s="56"/>
    </row>
    <row r="56" spans="1:10" ht="18.75" customHeight="1" x14ac:dyDescent="0.2">
      <c r="A56" s="18" t="s">
        <v>44</v>
      </c>
      <c r="B56" s="19" t="s">
        <v>389</v>
      </c>
      <c r="C56" s="20" t="s">
        <v>415</v>
      </c>
      <c r="D56" s="21" t="s">
        <v>77</v>
      </c>
      <c r="E56" s="104"/>
      <c r="F56" s="18">
        <v>41806</v>
      </c>
      <c r="G56" s="19" t="s">
        <v>457</v>
      </c>
      <c r="H56" s="18">
        <v>10</v>
      </c>
      <c r="I56" s="18" t="s">
        <v>48</v>
      </c>
      <c r="J56" s="56"/>
    </row>
    <row r="57" spans="1:10" ht="18.75" customHeight="1" x14ac:dyDescent="0.2">
      <c r="A57" s="18" t="s">
        <v>44</v>
      </c>
      <c r="B57" s="19" t="s">
        <v>389</v>
      </c>
      <c r="C57" s="20" t="s">
        <v>415</v>
      </c>
      <c r="D57" s="21" t="s">
        <v>77</v>
      </c>
      <c r="E57" s="104"/>
      <c r="F57" s="18">
        <v>41808</v>
      </c>
      <c r="G57" s="19" t="s">
        <v>458</v>
      </c>
      <c r="H57" s="18">
        <v>10</v>
      </c>
      <c r="I57" s="18" t="s">
        <v>48</v>
      </c>
      <c r="J57" s="56"/>
    </row>
    <row r="58" spans="1:10" ht="18.75" customHeight="1" x14ac:dyDescent="0.2">
      <c r="A58" s="18" t="s">
        <v>44</v>
      </c>
      <c r="B58" s="19" t="s">
        <v>389</v>
      </c>
      <c r="C58" s="20" t="s">
        <v>415</v>
      </c>
      <c r="D58" s="21" t="s">
        <v>77</v>
      </c>
      <c r="E58" s="105"/>
      <c r="F58" s="18">
        <v>41810</v>
      </c>
      <c r="G58" s="19" t="s">
        <v>459</v>
      </c>
      <c r="H58" s="18">
        <v>10</v>
      </c>
      <c r="I58" s="18" t="s">
        <v>48</v>
      </c>
      <c r="J58" s="56"/>
    </row>
    <row r="59" spans="1:10" ht="51.75" customHeight="1" x14ac:dyDescent="0.2">
      <c r="A59" s="18" t="s">
        <v>44</v>
      </c>
      <c r="B59" s="19" t="s">
        <v>389</v>
      </c>
      <c r="C59" s="20" t="s">
        <v>460</v>
      </c>
      <c r="D59" s="21" t="s">
        <v>461</v>
      </c>
      <c r="E59" s="76" t="e" vm="68">
        <v>#VALUE!</v>
      </c>
      <c r="F59" s="18">
        <v>41901</v>
      </c>
      <c r="G59" s="19" t="s">
        <v>462</v>
      </c>
      <c r="H59" s="18">
        <v>4</v>
      </c>
      <c r="I59" s="18" t="s">
        <v>146</v>
      </c>
      <c r="J59" s="56"/>
    </row>
    <row r="60" spans="1:10" ht="51.75" customHeight="1" x14ac:dyDescent="0.2">
      <c r="A60" s="18" t="s">
        <v>44</v>
      </c>
      <c r="B60" s="19" t="s">
        <v>389</v>
      </c>
      <c r="C60" s="20" t="s">
        <v>460</v>
      </c>
      <c r="D60" s="21" t="s">
        <v>461</v>
      </c>
      <c r="E60" s="23" t="e" vm="69">
        <v>#VALUE!</v>
      </c>
      <c r="F60" s="18">
        <v>41902</v>
      </c>
      <c r="G60" s="19" t="s">
        <v>463</v>
      </c>
      <c r="H60" s="18">
        <v>4</v>
      </c>
      <c r="I60" s="18" t="s">
        <v>146</v>
      </c>
      <c r="J60" s="56"/>
    </row>
    <row r="61" spans="1:10" ht="51.75" customHeight="1" x14ac:dyDescent="0.2">
      <c r="A61" s="18" t="s">
        <v>44</v>
      </c>
      <c r="B61" s="19" t="s">
        <v>389</v>
      </c>
      <c r="C61" s="20" t="s">
        <v>460</v>
      </c>
      <c r="D61" s="21" t="s">
        <v>461</v>
      </c>
      <c r="E61" s="23" t="e" vm="70">
        <v>#VALUE!</v>
      </c>
      <c r="F61" s="18">
        <v>41903</v>
      </c>
      <c r="G61" s="19" t="s">
        <v>464</v>
      </c>
      <c r="H61" s="18">
        <v>10</v>
      </c>
      <c r="I61" s="18" t="s">
        <v>48</v>
      </c>
      <c r="J61" s="56"/>
    </row>
    <row r="62" spans="1:10" ht="15.75" customHeight="1" x14ac:dyDescent="0.2">
      <c r="A62" s="40"/>
      <c r="B62" s="41"/>
      <c r="C62" s="41"/>
      <c r="D62" s="42"/>
      <c r="E62" s="80"/>
      <c r="F62" s="42"/>
      <c r="G62" s="42"/>
      <c r="H62" s="41"/>
      <c r="I62" s="42"/>
    </row>
  </sheetData>
  <mergeCells count="13">
    <mergeCell ref="B1:I1"/>
    <mergeCell ref="E19:E22"/>
    <mergeCell ref="E46:E49"/>
    <mergeCell ref="E27:E30"/>
    <mergeCell ref="E44:E45"/>
    <mergeCell ref="E23:E26"/>
    <mergeCell ref="E31:E34"/>
    <mergeCell ref="E55:E58"/>
    <mergeCell ref="E35:E38"/>
    <mergeCell ref="E39:E43"/>
    <mergeCell ref="E3:E14"/>
    <mergeCell ref="E50:E54"/>
    <mergeCell ref="E15:E18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61" xr:uid="{00000000-0002-0000-0700-000000000000}">
      <formula1>0</formula1>
    </dataValidation>
  </dataValidations>
  <hyperlinks>
    <hyperlink ref="A1" location="'Menú por Categoría'!C14" display="Volver al menú principal" xr:uid="{00000000-0004-0000-07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J15"/>
  <sheetViews>
    <sheetView showGridLines="0" zoomScale="70" zoomScaleNormal="70" workbookViewId="0">
      <pane ySplit="2" topLeftCell="A3" activePane="bottomLeft" state="frozen"/>
      <selection pane="bottomLeft" activeCell="G11" sqref="G11"/>
    </sheetView>
  </sheetViews>
  <sheetFormatPr baseColWidth="10" defaultColWidth="16" defaultRowHeight="15.75" customHeight="1" x14ac:dyDescent="0.2"/>
  <cols>
    <col min="1" max="1" width="22.5" style="10" customWidth="1"/>
    <col min="2" max="2" width="24.332031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6384" width="16" style="10"/>
  </cols>
  <sheetData>
    <row r="1" spans="1:10" ht="71.2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14.25" customHeight="1" x14ac:dyDescent="0.2">
      <c r="A3" s="18" t="s">
        <v>44</v>
      </c>
      <c r="B3" s="19" t="s">
        <v>465</v>
      </c>
      <c r="C3" s="19" t="s">
        <v>466</v>
      </c>
      <c r="D3" s="21" t="s">
        <v>46</v>
      </c>
      <c r="E3" s="107" t="e" vm="71">
        <v>#VALUE!</v>
      </c>
      <c r="F3" s="34">
        <v>13305</v>
      </c>
      <c r="G3" s="19" t="s">
        <v>467</v>
      </c>
      <c r="H3" s="18">
        <v>1</v>
      </c>
      <c r="I3" s="18" t="s">
        <v>146</v>
      </c>
      <c r="J3" s="56"/>
    </row>
    <row r="4" spans="1:10" ht="14.25" customHeight="1" x14ac:dyDescent="0.2">
      <c r="A4" s="18" t="s">
        <v>44</v>
      </c>
      <c r="B4" s="19" t="s">
        <v>465</v>
      </c>
      <c r="C4" s="19" t="s">
        <v>466</v>
      </c>
      <c r="D4" s="21" t="s">
        <v>46</v>
      </c>
      <c r="E4" s="108"/>
      <c r="F4" s="34">
        <v>13306</v>
      </c>
      <c r="G4" s="19" t="s">
        <v>468</v>
      </c>
      <c r="H4" s="18">
        <v>1</v>
      </c>
      <c r="I4" s="18" t="s">
        <v>146</v>
      </c>
      <c r="J4" s="56"/>
    </row>
    <row r="5" spans="1:10" ht="14.25" customHeight="1" x14ac:dyDescent="0.2">
      <c r="A5" s="18" t="s">
        <v>44</v>
      </c>
      <c r="B5" s="19" t="s">
        <v>465</v>
      </c>
      <c r="C5" s="19" t="s">
        <v>466</v>
      </c>
      <c r="D5" s="21" t="s">
        <v>46</v>
      </c>
      <c r="E5" s="108"/>
      <c r="F5" s="34">
        <v>13308</v>
      </c>
      <c r="G5" s="19" t="s">
        <v>469</v>
      </c>
      <c r="H5" s="18">
        <v>1</v>
      </c>
      <c r="I5" s="18" t="s">
        <v>146</v>
      </c>
      <c r="J5" s="56"/>
    </row>
    <row r="6" spans="1:10" ht="14.25" customHeight="1" x14ac:dyDescent="0.2">
      <c r="A6" s="18" t="s">
        <v>44</v>
      </c>
      <c r="B6" s="19" t="s">
        <v>465</v>
      </c>
      <c r="C6" s="19" t="s">
        <v>466</v>
      </c>
      <c r="D6" s="21" t="s">
        <v>46</v>
      </c>
      <c r="E6" s="108"/>
      <c r="F6" s="34">
        <v>13310</v>
      </c>
      <c r="G6" s="19" t="s">
        <v>470</v>
      </c>
      <c r="H6" s="18">
        <v>1</v>
      </c>
      <c r="I6" s="18" t="s">
        <v>146</v>
      </c>
      <c r="J6" s="56"/>
    </row>
    <row r="7" spans="1:10" ht="14.25" customHeight="1" x14ac:dyDescent="0.2">
      <c r="A7" s="18" t="s">
        <v>44</v>
      </c>
      <c r="B7" s="19" t="s">
        <v>465</v>
      </c>
      <c r="C7" s="19" t="s">
        <v>466</v>
      </c>
      <c r="D7" s="21" t="s">
        <v>46</v>
      </c>
      <c r="E7" s="108"/>
      <c r="F7" s="18">
        <v>13405</v>
      </c>
      <c r="G7" s="19" t="s">
        <v>471</v>
      </c>
      <c r="H7" s="18">
        <v>1</v>
      </c>
      <c r="I7" s="18" t="s">
        <v>146</v>
      </c>
      <c r="J7" s="56"/>
    </row>
    <row r="8" spans="1:10" ht="14.25" customHeight="1" x14ac:dyDescent="0.2">
      <c r="A8" s="18" t="s">
        <v>44</v>
      </c>
      <c r="B8" s="19" t="s">
        <v>465</v>
      </c>
      <c r="C8" s="19" t="s">
        <v>466</v>
      </c>
      <c r="D8" s="21" t="s">
        <v>46</v>
      </c>
      <c r="E8" s="108"/>
      <c r="F8" s="18">
        <v>13406</v>
      </c>
      <c r="G8" s="19" t="s">
        <v>472</v>
      </c>
      <c r="H8" s="18">
        <v>1</v>
      </c>
      <c r="I8" s="18" t="s">
        <v>146</v>
      </c>
      <c r="J8" s="56"/>
    </row>
    <row r="9" spans="1:10" ht="14.25" customHeight="1" x14ac:dyDescent="0.2">
      <c r="A9" s="18" t="s">
        <v>44</v>
      </c>
      <c r="B9" s="19" t="s">
        <v>465</v>
      </c>
      <c r="C9" s="19" t="s">
        <v>466</v>
      </c>
      <c r="D9" s="21" t="s">
        <v>46</v>
      </c>
      <c r="E9" s="108"/>
      <c r="F9" s="18">
        <v>13408</v>
      </c>
      <c r="G9" s="19" t="s">
        <v>473</v>
      </c>
      <c r="H9" s="18">
        <v>1</v>
      </c>
      <c r="I9" s="18" t="s">
        <v>146</v>
      </c>
      <c r="J9" s="56"/>
    </row>
    <row r="10" spans="1:10" ht="14.25" customHeight="1" x14ac:dyDescent="0.2">
      <c r="A10" s="18" t="s">
        <v>44</v>
      </c>
      <c r="B10" s="19" t="s">
        <v>465</v>
      </c>
      <c r="C10" s="19" t="s">
        <v>466</v>
      </c>
      <c r="D10" s="21" t="s">
        <v>46</v>
      </c>
      <c r="E10" s="108"/>
      <c r="F10" s="18">
        <v>13410</v>
      </c>
      <c r="G10" s="19" t="s">
        <v>474</v>
      </c>
      <c r="H10" s="18">
        <v>1</v>
      </c>
      <c r="I10" s="18" t="s">
        <v>146</v>
      </c>
      <c r="J10" s="56"/>
    </row>
    <row r="11" spans="1:10" ht="14.25" customHeight="1" x14ac:dyDescent="0.2">
      <c r="A11" s="18" t="s">
        <v>44</v>
      </c>
      <c r="B11" s="19" t="s">
        <v>465</v>
      </c>
      <c r="C11" s="19" t="s">
        <v>466</v>
      </c>
      <c r="D11" s="21" t="s">
        <v>46</v>
      </c>
      <c r="E11" s="108"/>
      <c r="F11" s="18">
        <v>13505</v>
      </c>
      <c r="G11" s="19" t="s">
        <v>475</v>
      </c>
      <c r="H11" s="18">
        <v>1</v>
      </c>
      <c r="I11" s="18" t="s">
        <v>146</v>
      </c>
      <c r="J11" s="56"/>
    </row>
    <row r="12" spans="1:10" ht="14.25" customHeight="1" x14ac:dyDescent="0.2">
      <c r="A12" s="18" t="s">
        <v>44</v>
      </c>
      <c r="B12" s="19" t="s">
        <v>465</v>
      </c>
      <c r="C12" s="19" t="s">
        <v>466</v>
      </c>
      <c r="D12" s="21" t="s">
        <v>46</v>
      </c>
      <c r="E12" s="108"/>
      <c r="F12" s="18">
        <v>13506</v>
      </c>
      <c r="G12" s="19" t="s">
        <v>476</v>
      </c>
      <c r="H12" s="18">
        <v>1</v>
      </c>
      <c r="I12" s="18" t="s">
        <v>146</v>
      </c>
      <c r="J12" s="56"/>
    </row>
    <row r="13" spans="1:10" ht="14.25" customHeight="1" x14ac:dyDescent="0.2">
      <c r="A13" s="18" t="s">
        <v>44</v>
      </c>
      <c r="B13" s="19" t="s">
        <v>465</v>
      </c>
      <c r="C13" s="19" t="s">
        <v>466</v>
      </c>
      <c r="D13" s="21" t="s">
        <v>46</v>
      </c>
      <c r="E13" s="108"/>
      <c r="F13" s="18">
        <v>13508</v>
      </c>
      <c r="G13" s="19" t="s">
        <v>477</v>
      </c>
      <c r="H13" s="18">
        <v>1</v>
      </c>
      <c r="I13" s="18" t="s">
        <v>146</v>
      </c>
      <c r="J13" s="56"/>
    </row>
    <row r="14" spans="1:10" ht="14.25" customHeight="1" x14ac:dyDescent="0.2">
      <c r="A14" s="18" t="s">
        <v>44</v>
      </c>
      <c r="B14" s="19" t="s">
        <v>465</v>
      </c>
      <c r="C14" s="19" t="s">
        <v>466</v>
      </c>
      <c r="D14" s="21" t="s">
        <v>46</v>
      </c>
      <c r="E14" s="108"/>
      <c r="F14" s="18">
        <v>13510</v>
      </c>
      <c r="G14" s="19" t="s">
        <v>478</v>
      </c>
      <c r="H14" s="18">
        <v>1</v>
      </c>
      <c r="I14" s="18" t="s">
        <v>146</v>
      </c>
      <c r="J14" s="56"/>
    </row>
    <row r="15" spans="1:10" ht="15.75" customHeight="1" x14ac:dyDescent="0.2">
      <c r="A15" s="40"/>
      <c r="B15" s="41"/>
      <c r="C15" s="41"/>
      <c r="D15" s="42"/>
      <c r="E15" s="80"/>
      <c r="F15" s="42"/>
      <c r="G15" s="42"/>
      <c r="H15" s="41"/>
      <c r="I15" s="42"/>
    </row>
  </sheetData>
  <mergeCells count="2">
    <mergeCell ref="B1:I1"/>
    <mergeCell ref="E3:E14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14" xr:uid="{00000000-0002-0000-0800-000000000000}">
      <formula1>0</formula1>
    </dataValidation>
  </dataValidations>
  <hyperlinks>
    <hyperlink ref="A1" location="'Menú por Categoría'!C14" display="Volver al menú principal" xr:uid="{00000000-0004-0000-08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J12"/>
  <sheetViews>
    <sheetView showGridLines="0" zoomScale="70" zoomScaleNormal="70" workbookViewId="0">
      <pane ySplit="2" topLeftCell="A3" activePane="bottomLeft" state="frozen"/>
      <selection pane="bottomLeft" activeCell="G8" sqref="G8"/>
    </sheetView>
  </sheetViews>
  <sheetFormatPr baseColWidth="10" defaultColWidth="16" defaultRowHeight="15.75" customHeight="1" x14ac:dyDescent="0.2"/>
  <cols>
    <col min="1" max="1" width="22.5" style="10" customWidth="1"/>
    <col min="2" max="2" width="24.332031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6384" width="16" style="10"/>
  </cols>
  <sheetData>
    <row r="1" spans="1:10" ht="69.7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15.75" customHeight="1" x14ac:dyDescent="0.2">
      <c r="A3" s="18" t="s">
        <v>44</v>
      </c>
      <c r="B3" s="19" t="s">
        <v>479</v>
      </c>
      <c r="C3" s="19" t="s">
        <v>480</v>
      </c>
      <c r="D3" s="18" t="s">
        <v>46</v>
      </c>
      <c r="E3" s="103" t="e" vm="72">
        <v>#VALUE!</v>
      </c>
      <c r="F3" s="18">
        <v>99101</v>
      </c>
      <c r="G3" s="19" t="s">
        <v>481</v>
      </c>
      <c r="H3" s="18">
        <v>1</v>
      </c>
      <c r="I3" s="18" t="s">
        <v>146</v>
      </c>
      <c r="J3" s="56"/>
    </row>
    <row r="4" spans="1:10" ht="15.75" customHeight="1" x14ac:dyDescent="0.2">
      <c r="A4" s="18" t="s">
        <v>44</v>
      </c>
      <c r="B4" s="19" t="s">
        <v>479</v>
      </c>
      <c r="C4" s="19" t="s">
        <v>480</v>
      </c>
      <c r="D4" s="18" t="s">
        <v>46</v>
      </c>
      <c r="E4" s="104"/>
      <c r="F4" s="18">
        <v>99102</v>
      </c>
      <c r="G4" s="19" t="s">
        <v>482</v>
      </c>
      <c r="H4" s="18">
        <v>1</v>
      </c>
      <c r="I4" s="18" t="s">
        <v>146</v>
      </c>
      <c r="J4" s="56"/>
    </row>
    <row r="5" spans="1:10" ht="15.75" customHeight="1" x14ac:dyDescent="0.2">
      <c r="A5" s="18" t="s">
        <v>44</v>
      </c>
      <c r="B5" s="19" t="s">
        <v>479</v>
      </c>
      <c r="C5" s="19" t="s">
        <v>480</v>
      </c>
      <c r="D5" s="18" t="s">
        <v>46</v>
      </c>
      <c r="E5" s="104"/>
      <c r="F5" s="18">
        <v>99103</v>
      </c>
      <c r="G5" s="19" t="s">
        <v>483</v>
      </c>
      <c r="H5" s="18">
        <v>1</v>
      </c>
      <c r="I5" s="18" t="s">
        <v>146</v>
      </c>
      <c r="J5" s="56"/>
    </row>
    <row r="6" spans="1:10" ht="15.75" customHeight="1" x14ac:dyDescent="0.2">
      <c r="A6" s="18" t="s">
        <v>44</v>
      </c>
      <c r="B6" s="19" t="s">
        <v>479</v>
      </c>
      <c r="C6" s="19" t="s">
        <v>480</v>
      </c>
      <c r="D6" s="18" t="s">
        <v>46</v>
      </c>
      <c r="E6" s="104"/>
      <c r="F6" s="18">
        <v>99104</v>
      </c>
      <c r="G6" s="19" t="s">
        <v>484</v>
      </c>
      <c r="H6" s="18">
        <v>1</v>
      </c>
      <c r="I6" s="18" t="s">
        <v>146</v>
      </c>
      <c r="J6" s="56"/>
    </row>
    <row r="7" spans="1:10" ht="15.75" customHeight="1" x14ac:dyDescent="0.2">
      <c r="A7" s="18" t="s">
        <v>44</v>
      </c>
      <c r="B7" s="19" t="s">
        <v>479</v>
      </c>
      <c r="C7" s="19" t="s">
        <v>480</v>
      </c>
      <c r="D7" s="18" t="s">
        <v>46</v>
      </c>
      <c r="E7" s="104"/>
      <c r="F7" s="18">
        <v>99105</v>
      </c>
      <c r="G7" s="19" t="s">
        <v>485</v>
      </c>
      <c r="H7" s="18">
        <v>1</v>
      </c>
      <c r="I7" s="18" t="s">
        <v>146</v>
      </c>
      <c r="J7" s="56"/>
    </row>
    <row r="8" spans="1:10" ht="15.75" customHeight="1" x14ac:dyDescent="0.2">
      <c r="A8" s="18" t="s">
        <v>44</v>
      </c>
      <c r="B8" s="19" t="s">
        <v>479</v>
      </c>
      <c r="C8" s="19" t="s">
        <v>480</v>
      </c>
      <c r="D8" s="18" t="s">
        <v>46</v>
      </c>
      <c r="E8" s="104"/>
      <c r="F8" s="18">
        <v>99106</v>
      </c>
      <c r="G8" s="19" t="s">
        <v>486</v>
      </c>
      <c r="H8" s="18">
        <v>1</v>
      </c>
      <c r="I8" s="18" t="s">
        <v>146</v>
      </c>
      <c r="J8" s="56"/>
    </row>
    <row r="9" spans="1:10" ht="15.75" customHeight="1" x14ac:dyDescent="0.2">
      <c r="A9" s="18" t="s">
        <v>44</v>
      </c>
      <c r="B9" s="19" t="s">
        <v>479</v>
      </c>
      <c r="C9" s="19" t="s">
        <v>480</v>
      </c>
      <c r="D9" s="18" t="s">
        <v>46</v>
      </c>
      <c r="E9" s="104"/>
      <c r="F9" s="18">
        <v>99107</v>
      </c>
      <c r="G9" s="19" t="s">
        <v>487</v>
      </c>
      <c r="H9" s="18">
        <v>1</v>
      </c>
      <c r="I9" s="18" t="s">
        <v>146</v>
      </c>
      <c r="J9" s="56"/>
    </row>
    <row r="10" spans="1:10" ht="15.75" customHeight="1" x14ac:dyDescent="0.2">
      <c r="A10" s="18" t="s">
        <v>44</v>
      </c>
      <c r="B10" s="19" t="s">
        <v>479</v>
      </c>
      <c r="C10" s="19" t="s">
        <v>480</v>
      </c>
      <c r="D10" s="18" t="s">
        <v>46</v>
      </c>
      <c r="E10" s="104"/>
      <c r="F10" s="18">
        <v>99108</v>
      </c>
      <c r="G10" s="19" t="s">
        <v>488</v>
      </c>
      <c r="H10" s="18">
        <v>1</v>
      </c>
      <c r="I10" s="18" t="s">
        <v>146</v>
      </c>
      <c r="J10" s="56"/>
    </row>
    <row r="11" spans="1:10" ht="15.75" customHeight="1" x14ac:dyDescent="0.2">
      <c r="A11" s="18" t="s">
        <v>44</v>
      </c>
      <c r="B11" s="19" t="s">
        <v>479</v>
      </c>
      <c r="C11" s="19" t="s">
        <v>480</v>
      </c>
      <c r="D11" s="18" t="s">
        <v>46</v>
      </c>
      <c r="E11" s="105"/>
      <c r="F11" s="18">
        <v>99110</v>
      </c>
      <c r="G11" s="19" t="s">
        <v>489</v>
      </c>
      <c r="H11" s="18">
        <v>1</v>
      </c>
      <c r="I11" s="18" t="s">
        <v>146</v>
      </c>
      <c r="J11" s="56"/>
    </row>
    <row r="12" spans="1:10" ht="15.75" customHeight="1" x14ac:dyDescent="0.2">
      <c r="A12" s="40"/>
      <c r="B12" s="41"/>
      <c r="C12" s="41"/>
      <c r="D12" s="42"/>
      <c r="E12" s="80"/>
      <c r="F12" s="42"/>
      <c r="G12" s="42"/>
      <c r="H12" s="41"/>
      <c r="I12" s="42"/>
    </row>
  </sheetData>
  <mergeCells count="2">
    <mergeCell ref="B1:I1"/>
    <mergeCell ref="E3:E11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11" xr:uid="{00000000-0002-0000-0900-000000000000}">
      <formula1>0</formula1>
    </dataValidation>
  </dataValidations>
  <hyperlinks>
    <hyperlink ref="A1" location="'Menú por Categoría'!C14" display="Volver al menú principal" xr:uid="{00000000-0004-0000-09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J68"/>
  <sheetViews>
    <sheetView showGridLines="0" zoomScale="70" zoomScaleNormal="70" workbookViewId="0">
      <pane ySplit="2" topLeftCell="A3" activePane="bottomLeft" state="frozen"/>
      <selection pane="bottomLeft" activeCell="G14" sqref="G14"/>
    </sheetView>
  </sheetViews>
  <sheetFormatPr baseColWidth="10" defaultColWidth="16" defaultRowHeight="15.75" customHeight="1" x14ac:dyDescent="0.2"/>
  <cols>
    <col min="1" max="1" width="22.5" style="10" customWidth="1"/>
    <col min="2" max="2" width="24.332031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6384" width="16" style="10"/>
  </cols>
  <sheetData>
    <row r="1" spans="1:10" ht="75.7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15.75" customHeight="1" x14ac:dyDescent="0.2">
      <c r="A3" s="18" t="s">
        <v>44</v>
      </c>
      <c r="B3" s="19" t="s">
        <v>490</v>
      </c>
      <c r="C3" s="20" t="s">
        <v>491</v>
      </c>
      <c r="D3" s="21" t="s">
        <v>46</v>
      </c>
      <c r="E3" s="103" t="e" vm="73">
        <v>#VALUE!</v>
      </c>
      <c r="F3" s="18" t="s">
        <v>492</v>
      </c>
      <c r="G3" s="19" t="s">
        <v>493</v>
      </c>
      <c r="H3" s="18">
        <v>1</v>
      </c>
      <c r="I3" s="18" t="s">
        <v>146</v>
      </c>
      <c r="J3" s="56"/>
    </row>
    <row r="4" spans="1:10" ht="15.75" customHeight="1" x14ac:dyDescent="0.2">
      <c r="A4" s="18" t="s">
        <v>44</v>
      </c>
      <c r="B4" s="19" t="s">
        <v>490</v>
      </c>
      <c r="C4" s="20" t="s">
        <v>491</v>
      </c>
      <c r="D4" s="21" t="s">
        <v>46</v>
      </c>
      <c r="E4" s="104"/>
      <c r="F4" s="18" t="s">
        <v>494</v>
      </c>
      <c r="G4" s="19" t="s">
        <v>495</v>
      </c>
      <c r="H4" s="18">
        <v>1</v>
      </c>
      <c r="I4" s="18" t="s">
        <v>146</v>
      </c>
      <c r="J4" s="56"/>
    </row>
    <row r="5" spans="1:10" ht="15.75" customHeight="1" x14ac:dyDescent="0.2">
      <c r="A5" s="18" t="s">
        <v>44</v>
      </c>
      <c r="B5" s="19" t="s">
        <v>490</v>
      </c>
      <c r="C5" s="20" t="s">
        <v>491</v>
      </c>
      <c r="D5" s="21" t="s">
        <v>46</v>
      </c>
      <c r="E5" s="104"/>
      <c r="F5" s="18" t="s">
        <v>496</v>
      </c>
      <c r="G5" s="19" t="s">
        <v>497</v>
      </c>
      <c r="H5" s="18">
        <v>1</v>
      </c>
      <c r="I5" s="18" t="s">
        <v>146</v>
      </c>
      <c r="J5" s="56"/>
    </row>
    <row r="6" spans="1:10" ht="15.75" customHeight="1" x14ac:dyDescent="0.2">
      <c r="A6" s="18" t="s">
        <v>44</v>
      </c>
      <c r="B6" s="19" t="s">
        <v>490</v>
      </c>
      <c r="C6" s="20" t="s">
        <v>491</v>
      </c>
      <c r="D6" s="21" t="s">
        <v>46</v>
      </c>
      <c r="E6" s="104"/>
      <c r="F6" s="18" t="s">
        <v>498</v>
      </c>
      <c r="G6" s="19" t="s">
        <v>499</v>
      </c>
      <c r="H6" s="18">
        <v>1</v>
      </c>
      <c r="I6" s="18" t="s">
        <v>146</v>
      </c>
      <c r="J6" s="56"/>
    </row>
    <row r="7" spans="1:10" ht="15.75" customHeight="1" x14ac:dyDescent="0.2">
      <c r="A7" s="18" t="s">
        <v>44</v>
      </c>
      <c r="B7" s="19" t="s">
        <v>490</v>
      </c>
      <c r="C7" s="20" t="s">
        <v>491</v>
      </c>
      <c r="D7" s="21" t="s">
        <v>46</v>
      </c>
      <c r="E7" s="105"/>
      <c r="F7" s="18" t="s">
        <v>500</v>
      </c>
      <c r="G7" s="19" t="s">
        <v>501</v>
      </c>
      <c r="H7" s="18">
        <v>1</v>
      </c>
      <c r="I7" s="18" t="s">
        <v>146</v>
      </c>
      <c r="J7" s="56"/>
    </row>
    <row r="8" spans="1:10" ht="15.75" customHeight="1" x14ac:dyDescent="0.2">
      <c r="A8" s="18" t="s">
        <v>44</v>
      </c>
      <c r="B8" s="19" t="s">
        <v>490</v>
      </c>
      <c r="C8" s="20" t="s">
        <v>502</v>
      </c>
      <c r="D8" s="21" t="s">
        <v>77</v>
      </c>
      <c r="E8" s="103" t="e" vm="74">
        <v>#VALUE!</v>
      </c>
      <c r="F8" s="18">
        <v>342205</v>
      </c>
      <c r="G8" s="19" t="s">
        <v>503</v>
      </c>
      <c r="H8" s="18">
        <v>1</v>
      </c>
      <c r="I8" s="18" t="s">
        <v>146</v>
      </c>
      <c r="J8" s="56"/>
    </row>
    <row r="9" spans="1:10" ht="15.75" customHeight="1" x14ac:dyDescent="0.2">
      <c r="A9" s="18" t="s">
        <v>44</v>
      </c>
      <c r="B9" s="19" t="s">
        <v>490</v>
      </c>
      <c r="C9" s="20" t="s">
        <v>502</v>
      </c>
      <c r="D9" s="21" t="s">
        <v>77</v>
      </c>
      <c r="E9" s="104"/>
      <c r="F9" s="18">
        <v>342206</v>
      </c>
      <c r="G9" s="19" t="s">
        <v>504</v>
      </c>
      <c r="H9" s="18">
        <v>1</v>
      </c>
      <c r="I9" s="18" t="s">
        <v>146</v>
      </c>
      <c r="J9" s="56"/>
    </row>
    <row r="10" spans="1:10" ht="15.75" customHeight="1" x14ac:dyDescent="0.2">
      <c r="A10" s="18" t="s">
        <v>44</v>
      </c>
      <c r="B10" s="19" t="s">
        <v>490</v>
      </c>
      <c r="C10" s="20" t="s">
        <v>502</v>
      </c>
      <c r="D10" s="21" t="s">
        <v>77</v>
      </c>
      <c r="E10" s="104"/>
      <c r="F10" s="18">
        <v>342208</v>
      </c>
      <c r="G10" s="19" t="s">
        <v>505</v>
      </c>
      <c r="H10" s="18">
        <v>1</v>
      </c>
      <c r="I10" s="18" t="s">
        <v>146</v>
      </c>
      <c r="J10" s="56"/>
    </row>
    <row r="11" spans="1:10" ht="15.75" customHeight="1" x14ac:dyDescent="0.2">
      <c r="A11" s="18" t="s">
        <v>44</v>
      </c>
      <c r="B11" s="19" t="s">
        <v>490</v>
      </c>
      <c r="C11" s="20" t="s">
        <v>502</v>
      </c>
      <c r="D11" s="21" t="s">
        <v>77</v>
      </c>
      <c r="E11" s="104"/>
      <c r="F11" s="18">
        <v>342210</v>
      </c>
      <c r="G11" s="19" t="s">
        <v>506</v>
      </c>
      <c r="H11" s="18">
        <v>1</v>
      </c>
      <c r="I11" s="18" t="s">
        <v>146</v>
      </c>
      <c r="J11" s="56"/>
    </row>
    <row r="12" spans="1:10" ht="15.75" customHeight="1" x14ac:dyDescent="0.2">
      <c r="A12" s="18" t="s">
        <v>44</v>
      </c>
      <c r="B12" s="19" t="s">
        <v>490</v>
      </c>
      <c r="C12" s="20" t="s">
        <v>502</v>
      </c>
      <c r="D12" s="21" t="s">
        <v>77</v>
      </c>
      <c r="E12" s="105"/>
      <c r="F12" s="18">
        <v>342216</v>
      </c>
      <c r="G12" s="19" t="s">
        <v>507</v>
      </c>
      <c r="H12" s="18">
        <v>1</v>
      </c>
      <c r="I12" s="18" t="s">
        <v>146</v>
      </c>
      <c r="J12" s="56"/>
    </row>
    <row r="13" spans="1:10" ht="15.75" customHeight="1" x14ac:dyDescent="0.2">
      <c r="A13" s="18" t="s">
        <v>44</v>
      </c>
      <c r="B13" s="19" t="s">
        <v>490</v>
      </c>
      <c r="C13" s="20" t="s">
        <v>502</v>
      </c>
      <c r="D13" s="21" t="s">
        <v>77</v>
      </c>
      <c r="E13" s="103" t="e" vm="75">
        <v>#VALUE!</v>
      </c>
      <c r="F13" s="18">
        <v>342105</v>
      </c>
      <c r="G13" s="19" t="s">
        <v>508</v>
      </c>
      <c r="H13" s="18">
        <v>1</v>
      </c>
      <c r="I13" s="18" t="s">
        <v>146</v>
      </c>
      <c r="J13" s="56"/>
    </row>
    <row r="14" spans="1:10" ht="15.75" customHeight="1" x14ac:dyDescent="0.2">
      <c r="A14" s="18" t="s">
        <v>44</v>
      </c>
      <c r="B14" s="19" t="s">
        <v>490</v>
      </c>
      <c r="C14" s="20" t="s">
        <v>502</v>
      </c>
      <c r="D14" s="21" t="s">
        <v>77</v>
      </c>
      <c r="E14" s="104"/>
      <c r="F14" s="18">
        <v>342106</v>
      </c>
      <c r="G14" s="19" t="s">
        <v>509</v>
      </c>
      <c r="H14" s="18">
        <v>1</v>
      </c>
      <c r="I14" s="18" t="s">
        <v>146</v>
      </c>
      <c r="J14" s="56"/>
    </row>
    <row r="15" spans="1:10" ht="15.75" customHeight="1" x14ac:dyDescent="0.2">
      <c r="A15" s="18" t="s">
        <v>44</v>
      </c>
      <c r="B15" s="19" t="s">
        <v>490</v>
      </c>
      <c r="C15" s="20" t="s">
        <v>502</v>
      </c>
      <c r="D15" s="21" t="s">
        <v>77</v>
      </c>
      <c r="E15" s="104"/>
      <c r="F15" s="18">
        <v>342108</v>
      </c>
      <c r="G15" s="19" t="s">
        <v>510</v>
      </c>
      <c r="H15" s="18">
        <v>1</v>
      </c>
      <c r="I15" s="18" t="s">
        <v>146</v>
      </c>
      <c r="J15" s="56"/>
    </row>
    <row r="16" spans="1:10" ht="15.75" customHeight="1" x14ac:dyDescent="0.2">
      <c r="A16" s="18" t="s">
        <v>44</v>
      </c>
      <c r="B16" s="19" t="s">
        <v>490</v>
      </c>
      <c r="C16" s="20" t="s">
        <v>502</v>
      </c>
      <c r="D16" s="21" t="s">
        <v>77</v>
      </c>
      <c r="E16" s="104"/>
      <c r="F16" s="18">
        <v>342110</v>
      </c>
      <c r="G16" s="19" t="s">
        <v>511</v>
      </c>
      <c r="H16" s="18">
        <v>1</v>
      </c>
      <c r="I16" s="18" t="s">
        <v>146</v>
      </c>
      <c r="J16" s="56"/>
    </row>
    <row r="17" spans="1:10" ht="15.75" customHeight="1" x14ac:dyDescent="0.2">
      <c r="A17" s="18" t="s">
        <v>44</v>
      </c>
      <c r="B17" s="19" t="s">
        <v>490</v>
      </c>
      <c r="C17" s="20" t="s">
        <v>502</v>
      </c>
      <c r="D17" s="21" t="s">
        <v>77</v>
      </c>
      <c r="E17" s="105"/>
      <c r="F17" s="18">
        <v>342116</v>
      </c>
      <c r="G17" s="19" t="s">
        <v>512</v>
      </c>
      <c r="H17" s="18">
        <v>1</v>
      </c>
      <c r="I17" s="18" t="s">
        <v>146</v>
      </c>
      <c r="J17" s="56"/>
    </row>
    <row r="18" spans="1:10" ht="46.5" customHeight="1" x14ac:dyDescent="0.2">
      <c r="A18" s="18" t="s">
        <v>44</v>
      </c>
      <c r="B18" s="19" t="s">
        <v>490</v>
      </c>
      <c r="C18" s="20" t="s">
        <v>502</v>
      </c>
      <c r="D18" s="21" t="s">
        <v>77</v>
      </c>
      <c r="E18" s="76" t="e" vm="76">
        <v>#VALUE!</v>
      </c>
      <c r="F18" s="18">
        <v>342910</v>
      </c>
      <c r="G18" s="19" t="s">
        <v>513</v>
      </c>
      <c r="H18" s="18">
        <v>1</v>
      </c>
      <c r="I18" s="18" t="s">
        <v>146</v>
      </c>
      <c r="J18" s="56"/>
    </row>
    <row r="19" spans="1:10" ht="36.75" customHeight="1" x14ac:dyDescent="0.2">
      <c r="A19" s="18" t="s">
        <v>44</v>
      </c>
      <c r="B19" s="19" t="s">
        <v>490</v>
      </c>
      <c r="C19" s="20" t="s">
        <v>502</v>
      </c>
      <c r="D19" s="21" t="s">
        <v>77</v>
      </c>
      <c r="E19" s="113" t="e" vm="77">
        <v>#VALUE!</v>
      </c>
      <c r="F19" s="18">
        <v>342911</v>
      </c>
      <c r="G19" s="19" t="s">
        <v>514</v>
      </c>
      <c r="H19" s="18">
        <v>1</v>
      </c>
      <c r="I19" s="18" t="s">
        <v>146</v>
      </c>
      <c r="J19" s="56"/>
    </row>
    <row r="20" spans="1:10" ht="36.75" customHeight="1" x14ac:dyDescent="0.2">
      <c r="A20" s="18" t="s">
        <v>44</v>
      </c>
      <c r="B20" s="19" t="s">
        <v>490</v>
      </c>
      <c r="C20" s="20" t="s">
        <v>502</v>
      </c>
      <c r="D20" s="21" t="s">
        <v>77</v>
      </c>
      <c r="E20" s="105"/>
      <c r="F20" s="18">
        <v>342916</v>
      </c>
      <c r="G20" s="19" t="s">
        <v>515</v>
      </c>
      <c r="H20" s="18">
        <v>1</v>
      </c>
      <c r="I20" s="18" t="s">
        <v>146</v>
      </c>
      <c r="J20" s="56"/>
    </row>
    <row r="21" spans="1:10" ht="15.75" customHeight="1" x14ac:dyDescent="0.2">
      <c r="A21" s="18" t="s">
        <v>44</v>
      </c>
      <c r="B21" s="19" t="s">
        <v>490</v>
      </c>
      <c r="C21" s="20" t="s">
        <v>502</v>
      </c>
      <c r="D21" s="21" t="s">
        <v>77</v>
      </c>
      <c r="E21" s="103" t="e" vm="78">
        <v>#VALUE!</v>
      </c>
      <c r="F21" s="18">
        <v>42405</v>
      </c>
      <c r="G21" s="19" t="s">
        <v>516</v>
      </c>
      <c r="H21" s="18">
        <v>1</v>
      </c>
      <c r="I21" s="18" t="s">
        <v>146</v>
      </c>
      <c r="J21" s="56"/>
    </row>
    <row r="22" spans="1:10" ht="15.75" customHeight="1" x14ac:dyDescent="0.2">
      <c r="A22" s="18" t="s">
        <v>44</v>
      </c>
      <c r="B22" s="19" t="s">
        <v>490</v>
      </c>
      <c r="C22" s="20" t="s">
        <v>502</v>
      </c>
      <c r="D22" s="21" t="s">
        <v>77</v>
      </c>
      <c r="E22" s="104"/>
      <c r="F22" s="18">
        <v>342406</v>
      </c>
      <c r="G22" s="19" t="s">
        <v>517</v>
      </c>
      <c r="H22" s="18">
        <v>1</v>
      </c>
      <c r="I22" s="18" t="s">
        <v>146</v>
      </c>
      <c r="J22" s="56"/>
    </row>
    <row r="23" spans="1:10" ht="15.75" customHeight="1" x14ac:dyDescent="0.2">
      <c r="A23" s="18" t="s">
        <v>44</v>
      </c>
      <c r="B23" s="19" t="s">
        <v>490</v>
      </c>
      <c r="C23" s="20" t="s">
        <v>502</v>
      </c>
      <c r="D23" s="21" t="s">
        <v>77</v>
      </c>
      <c r="E23" s="104"/>
      <c r="F23" s="18">
        <v>342408</v>
      </c>
      <c r="G23" s="19" t="s">
        <v>518</v>
      </c>
      <c r="H23" s="18">
        <v>1</v>
      </c>
      <c r="I23" s="18" t="s">
        <v>146</v>
      </c>
      <c r="J23" s="56"/>
    </row>
    <row r="24" spans="1:10" ht="15.75" customHeight="1" x14ac:dyDescent="0.2">
      <c r="A24" s="18" t="s">
        <v>44</v>
      </c>
      <c r="B24" s="19" t="s">
        <v>490</v>
      </c>
      <c r="C24" s="20" t="s">
        <v>502</v>
      </c>
      <c r="D24" s="21" t="s">
        <v>77</v>
      </c>
      <c r="E24" s="104"/>
      <c r="F24" s="18">
        <v>342410</v>
      </c>
      <c r="G24" s="19" t="s">
        <v>519</v>
      </c>
      <c r="H24" s="18">
        <v>1</v>
      </c>
      <c r="I24" s="18" t="s">
        <v>146</v>
      </c>
      <c r="J24" s="56"/>
    </row>
    <row r="25" spans="1:10" ht="15.75" customHeight="1" x14ac:dyDescent="0.2">
      <c r="A25" s="18" t="s">
        <v>44</v>
      </c>
      <c r="B25" s="19" t="s">
        <v>490</v>
      </c>
      <c r="C25" s="20" t="s">
        <v>502</v>
      </c>
      <c r="D25" s="21" t="s">
        <v>77</v>
      </c>
      <c r="E25" s="105"/>
      <c r="F25" s="18">
        <v>342416</v>
      </c>
      <c r="G25" s="19" t="s">
        <v>520</v>
      </c>
      <c r="H25" s="18">
        <v>1</v>
      </c>
      <c r="I25" s="18" t="s">
        <v>146</v>
      </c>
      <c r="J25" s="56"/>
    </row>
    <row r="26" spans="1:10" ht="34.5" customHeight="1" x14ac:dyDescent="0.2">
      <c r="A26" s="18" t="s">
        <v>44</v>
      </c>
      <c r="B26" s="19" t="s">
        <v>490</v>
      </c>
      <c r="C26" s="20" t="s">
        <v>502</v>
      </c>
      <c r="D26" s="21" t="s">
        <v>77</v>
      </c>
      <c r="E26" s="103" t="e" vm="79">
        <v>#VALUE!</v>
      </c>
      <c r="F26" s="18">
        <v>42810</v>
      </c>
      <c r="G26" s="19" t="s">
        <v>521</v>
      </c>
      <c r="H26" s="18">
        <v>1</v>
      </c>
      <c r="I26" s="18" t="s">
        <v>146</v>
      </c>
      <c r="J26" s="56"/>
    </row>
    <row r="27" spans="1:10" ht="34.5" customHeight="1" x14ac:dyDescent="0.2">
      <c r="A27" s="18" t="s">
        <v>44</v>
      </c>
      <c r="B27" s="19" t="s">
        <v>490</v>
      </c>
      <c r="C27" s="20" t="s">
        <v>502</v>
      </c>
      <c r="D27" s="21" t="s">
        <v>77</v>
      </c>
      <c r="E27" s="105"/>
      <c r="F27" s="18">
        <v>42816</v>
      </c>
      <c r="G27" s="19" t="s">
        <v>522</v>
      </c>
      <c r="H27" s="18">
        <v>1</v>
      </c>
      <c r="I27" s="18" t="s">
        <v>146</v>
      </c>
      <c r="J27" s="56"/>
    </row>
    <row r="28" spans="1:10" ht="15.75" customHeight="1" x14ac:dyDescent="0.2">
      <c r="A28" s="18" t="s">
        <v>44</v>
      </c>
      <c r="B28" s="19" t="s">
        <v>490</v>
      </c>
      <c r="C28" s="20" t="s">
        <v>502</v>
      </c>
      <c r="D28" s="21" t="s">
        <v>77</v>
      </c>
      <c r="E28" s="103" t="e" vm="80">
        <v>#VALUE!</v>
      </c>
      <c r="F28" s="18">
        <v>42305</v>
      </c>
      <c r="G28" s="19" t="s">
        <v>523</v>
      </c>
      <c r="H28" s="18">
        <v>1</v>
      </c>
      <c r="I28" s="18" t="s">
        <v>146</v>
      </c>
      <c r="J28" s="56"/>
    </row>
    <row r="29" spans="1:10" ht="15.75" customHeight="1" x14ac:dyDescent="0.2">
      <c r="A29" s="18" t="s">
        <v>44</v>
      </c>
      <c r="B29" s="19" t="s">
        <v>490</v>
      </c>
      <c r="C29" s="20" t="s">
        <v>502</v>
      </c>
      <c r="D29" s="21" t="s">
        <v>77</v>
      </c>
      <c r="E29" s="104"/>
      <c r="F29" s="18">
        <v>342306</v>
      </c>
      <c r="G29" s="19" t="s">
        <v>524</v>
      </c>
      <c r="H29" s="18">
        <v>1</v>
      </c>
      <c r="I29" s="18" t="s">
        <v>146</v>
      </c>
      <c r="J29" s="56"/>
    </row>
    <row r="30" spans="1:10" ht="15.75" customHeight="1" x14ac:dyDescent="0.2">
      <c r="A30" s="18" t="s">
        <v>44</v>
      </c>
      <c r="B30" s="19" t="s">
        <v>490</v>
      </c>
      <c r="C30" s="20" t="s">
        <v>502</v>
      </c>
      <c r="D30" s="21" t="s">
        <v>77</v>
      </c>
      <c r="E30" s="104"/>
      <c r="F30" s="18">
        <v>342308</v>
      </c>
      <c r="G30" s="19" t="s">
        <v>525</v>
      </c>
      <c r="H30" s="18">
        <v>1</v>
      </c>
      <c r="I30" s="18" t="s">
        <v>146</v>
      </c>
      <c r="J30" s="56"/>
    </row>
    <row r="31" spans="1:10" ht="15.75" customHeight="1" x14ac:dyDescent="0.2">
      <c r="A31" s="18" t="s">
        <v>44</v>
      </c>
      <c r="B31" s="19" t="s">
        <v>490</v>
      </c>
      <c r="C31" s="20" t="s">
        <v>502</v>
      </c>
      <c r="D31" s="21" t="s">
        <v>77</v>
      </c>
      <c r="E31" s="104"/>
      <c r="F31" s="18">
        <v>342310</v>
      </c>
      <c r="G31" s="19" t="s">
        <v>526</v>
      </c>
      <c r="H31" s="18">
        <v>1</v>
      </c>
      <c r="I31" s="18" t="s">
        <v>146</v>
      </c>
      <c r="J31" s="56"/>
    </row>
    <row r="32" spans="1:10" ht="15.75" customHeight="1" x14ac:dyDescent="0.2">
      <c r="A32" s="18" t="s">
        <v>44</v>
      </c>
      <c r="B32" s="19" t="s">
        <v>490</v>
      </c>
      <c r="C32" s="20" t="s">
        <v>502</v>
      </c>
      <c r="D32" s="21" t="s">
        <v>77</v>
      </c>
      <c r="E32" s="105"/>
      <c r="F32" s="18">
        <v>342318</v>
      </c>
      <c r="G32" s="19" t="s">
        <v>527</v>
      </c>
      <c r="H32" s="18">
        <v>1</v>
      </c>
      <c r="I32" s="18" t="s">
        <v>146</v>
      </c>
      <c r="J32" s="56"/>
    </row>
    <row r="33" spans="1:10" ht="15.75" customHeight="1" x14ac:dyDescent="0.2">
      <c r="A33" s="18" t="s">
        <v>44</v>
      </c>
      <c r="B33" s="19" t="s">
        <v>490</v>
      </c>
      <c r="C33" s="20" t="s">
        <v>502</v>
      </c>
      <c r="D33" s="21" t="s">
        <v>77</v>
      </c>
      <c r="E33" s="103" t="e" vm="81">
        <v>#VALUE!</v>
      </c>
      <c r="F33" s="18">
        <v>42312</v>
      </c>
      <c r="G33" s="19" t="s">
        <v>528</v>
      </c>
      <c r="H33" s="18">
        <v>1</v>
      </c>
      <c r="I33" s="18" t="s">
        <v>146</v>
      </c>
      <c r="J33" s="56"/>
    </row>
    <row r="34" spans="1:10" ht="15.75" customHeight="1" x14ac:dyDescent="0.2">
      <c r="A34" s="18" t="s">
        <v>44</v>
      </c>
      <c r="B34" s="19" t="s">
        <v>490</v>
      </c>
      <c r="C34" s="20" t="s">
        <v>502</v>
      </c>
      <c r="D34" s="21" t="s">
        <v>77</v>
      </c>
      <c r="E34" s="104"/>
      <c r="F34" s="18">
        <v>342313</v>
      </c>
      <c r="G34" s="19" t="s">
        <v>529</v>
      </c>
      <c r="H34" s="18">
        <v>1</v>
      </c>
      <c r="I34" s="18" t="s">
        <v>146</v>
      </c>
      <c r="J34" s="56"/>
    </row>
    <row r="35" spans="1:10" ht="15.75" customHeight="1" x14ac:dyDescent="0.2">
      <c r="A35" s="18" t="s">
        <v>44</v>
      </c>
      <c r="B35" s="19" t="s">
        <v>490</v>
      </c>
      <c r="C35" s="20" t="s">
        <v>502</v>
      </c>
      <c r="D35" s="21" t="s">
        <v>77</v>
      </c>
      <c r="E35" s="104"/>
      <c r="F35" s="18">
        <v>342314</v>
      </c>
      <c r="G35" s="19" t="s">
        <v>530</v>
      </c>
      <c r="H35" s="18">
        <v>1</v>
      </c>
      <c r="I35" s="18" t="s">
        <v>146</v>
      </c>
      <c r="J35" s="56"/>
    </row>
    <row r="36" spans="1:10" ht="15" customHeight="1" x14ac:dyDescent="0.2">
      <c r="A36" s="18" t="s">
        <v>44</v>
      </c>
      <c r="B36" s="19" t="s">
        <v>490</v>
      </c>
      <c r="C36" s="20" t="s">
        <v>502</v>
      </c>
      <c r="D36" s="21" t="s">
        <v>77</v>
      </c>
      <c r="E36" s="104"/>
      <c r="F36" s="18">
        <v>342315</v>
      </c>
      <c r="G36" s="19" t="s">
        <v>531</v>
      </c>
      <c r="H36" s="18">
        <v>1</v>
      </c>
      <c r="I36" s="18" t="s">
        <v>146</v>
      </c>
      <c r="J36" s="56"/>
    </row>
    <row r="37" spans="1:10" ht="15.75" customHeight="1" x14ac:dyDescent="0.2">
      <c r="A37" s="18" t="s">
        <v>44</v>
      </c>
      <c r="B37" s="19" t="s">
        <v>490</v>
      </c>
      <c r="C37" s="20" t="s">
        <v>502</v>
      </c>
      <c r="D37" s="21" t="s">
        <v>77</v>
      </c>
      <c r="E37" s="104"/>
      <c r="F37" s="18">
        <v>342316</v>
      </c>
      <c r="G37" s="19" t="s">
        <v>532</v>
      </c>
      <c r="H37" s="18">
        <v>1</v>
      </c>
      <c r="I37" s="18" t="s">
        <v>146</v>
      </c>
      <c r="J37" s="56"/>
    </row>
    <row r="38" spans="1:10" ht="15.75" customHeight="1" x14ac:dyDescent="0.2">
      <c r="A38" s="18" t="s">
        <v>44</v>
      </c>
      <c r="B38" s="19" t="s">
        <v>490</v>
      </c>
      <c r="C38" s="20" t="s">
        <v>502</v>
      </c>
      <c r="D38" s="21" t="s">
        <v>77</v>
      </c>
      <c r="E38" s="105"/>
      <c r="F38" s="18">
        <v>342317</v>
      </c>
      <c r="G38" s="19" t="s">
        <v>533</v>
      </c>
      <c r="H38" s="18">
        <v>1</v>
      </c>
      <c r="I38" s="18" t="s">
        <v>146</v>
      </c>
      <c r="J38" s="56"/>
    </row>
    <row r="39" spans="1:10" ht="24.75" customHeight="1" x14ac:dyDescent="0.2">
      <c r="A39" s="18" t="s">
        <v>44</v>
      </c>
      <c r="B39" s="19" t="s">
        <v>490</v>
      </c>
      <c r="C39" s="20" t="s">
        <v>502</v>
      </c>
      <c r="D39" s="21" t="s">
        <v>77</v>
      </c>
      <c r="E39" s="103" t="e" vm="82">
        <v>#VALUE!</v>
      </c>
      <c r="F39" s="18">
        <v>42608</v>
      </c>
      <c r="G39" s="19" t="s">
        <v>534</v>
      </c>
      <c r="H39" s="18">
        <v>1</v>
      </c>
      <c r="I39" s="18" t="s">
        <v>146</v>
      </c>
      <c r="J39" s="56"/>
    </row>
    <row r="40" spans="1:10" ht="24.75" customHeight="1" x14ac:dyDescent="0.2">
      <c r="A40" s="18" t="s">
        <v>44</v>
      </c>
      <c r="B40" s="19" t="s">
        <v>490</v>
      </c>
      <c r="C40" s="20" t="s">
        <v>502</v>
      </c>
      <c r="D40" s="21" t="s">
        <v>77</v>
      </c>
      <c r="E40" s="104"/>
      <c r="F40" s="18">
        <v>342610</v>
      </c>
      <c r="G40" s="19" t="s">
        <v>535</v>
      </c>
      <c r="H40" s="18">
        <v>1</v>
      </c>
      <c r="I40" s="18" t="s">
        <v>146</v>
      </c>
      <c r="J40" s="56"/>
    </row>
    <row r="41" spans="1:10" ht="24.75" customHeight="1" x14ac:dyDescent="0.2">
      <c r="A41" s="18" t="s">
        <v>44</v>
      </c>
      <c r="B41" s="19" t="s">
        <v>490</v>
      </c>
      <c r="C41" s="20" t="s">
        <v>502</v>
      </c>
      <c r="D41" s="21" t="s">
        <v>77</v>
      </c>
      <c r="E41" s="105"/>
      <c r="F41" s="18">
        <v>342616</v>
      </c>
      <c r="G41" s="19" t="s">
        <v>536</v>
      </c>
      <c r="H41" s="18">
        <v>1</v>
      </c>
      <c r="I41" s="18" t="s">
        <v>146</v>
      </c>
      <c r="J41" s="56"/>
    </row>
    <row r="42" spans="1:10" ht="24.75" customHeight="1" x14ac:dyDescent="0.2">
      <c r="A42" s="18" t="s">
        <v>44</v>
      </c>
      <c r="B42" s="19" t="s">
        <v>490</v>
      </c>
      <c r="C42" s="20" t="s">
        <v>502</v>
      </c>
      <c r="D42" s="21" t="s">
        <v>77</v>
      </c>
      <c r="E42" s="103" t="e" vm="83">
        <v>#VALUE!</v>
      </c>
      <c r="F42" s="18">
        <v>342611</v>
      </c>
      <c r="G42" s="19" t="s">
        <v>537</v>
      </c>
      <c r="H42" s="18">
        <v>1</v>
      </c>
      <c r="I42" s="18" t="s">
        <v>146</v>
      </c>
      <c r="J42" s="56"/>
    </row>
    <row r="43" spans="1:10" ht="24.75" customHeight="1" x14ac:dyDescent="0.2">
      <c r="A43" s="18" t="s">
        <v>44</v>
      </c>
      <c r="B43" s="19" t="s">
        <v>490</v>
      </c>
      <c r="C43" s="20" t="s">
        <v>502</v>
      </c>
      <c r="D43" s="21" t="s">
        <v>77</v>
      </c>
      <c r="E43" s="105"/>
      <c r="F43" s="18">
        <v>342612</v>
      </c>
      <c r="G43" s="19" t="s">
        <v>538</v>
      </c>
      <c r="H43" s="18">
        <v>1</v>
      </c>
      <c r="I43" s="18" t="s">
        <v>146</v>
      </c>
      <c r="J43" s="56"/>
    </row>
    <row r="44" spans="1:10" ht="15.75" customHeight="1" x14ac:dyDescent="0.2">
      <c r="A44" s="18" t="s">
        <v>44</v>
      </c>
      <c r="B44" s="19" t="s">
        <v>490</v>
      </c>
      <c r="C44" s="20" t="s">
        <v>502</v>
      </c>
      <c r="D44" s="21" t="s">
        <v>77</v>
      </c>
      <c r="E44" s="103" t="e" vm="84">
        <v>#VALUE!</v>
      </c>
      <c r="F44" s="18">
        <v>42705</v>
      </c>
      <c r="G44" s="19" t="s">
        <v>539</v>
      </c>
      <c r="H44" s="18">
        <v>1</v>
      </c>
      <c r="I44" s="18" t="s">
        <v>146</v>
      </c>
      <c r="J44" s="56"/>
    </row>
    <row r="45" spans="1:10" ht="15.75" customHeight="1" x14ac:dyDescent="0.2">
      <c r="A45" s="18" t="s">
        <v>44</v>
      </c>
      <c r="B45" s="19" t="s">
        <v>490</v>
      </c>
      <c r="C45" s="20" t="s">
        <v>502</v>
      </c>
      <c r="D45" s="21" t="s">
        <v>77</v>
      </c>
      <c r="E45" s="104"/>
      <c r="F45" s="18">
        <v>342706</v>
      </c>
      <c r="G45" s="19" t="s">
        <v>540</v>
      </c>
      <c r="H45" s="18">
        <v>1</v>
      </c>
      <c r="I45" s="18" t="s">
        <v>146</v>
      </c>
      <c r="J45" s="56"/>
    </row>
    <row r="46" spans="1:10" ht="15.75" customHeight="1" x14ac:dyDescent="0.2">
      <c r="A46" s="18" t="s">
        <v>44</v>
      </c>
      <c r="B46" s="19" t="s">
        <v>490</v>
      </c>
      <c r="C46" s="20" t="s">
        <v>502</v>
      </c>
      <c r="D46" s="21" t="s">
        <v>77</v>
      </c>
      <c r="E46" s="104"/>
      <c r="F46" s="18">
        <v>342708</v>
      </c>
      <c r="G46" s="19" t="s">
        <v>541</v>
      </c>
      <c r="H46" s="18">
        <v>1</v>
      </c>
      <c r="I46" s="18" t="s">
        <v>146</v>
      </c>
      <c r="J46" s="56"/>
    </row>
    <row r="47" spans="1:10" ht="15.75" customHeight="1" x14ac:dyDescent="0.2">
      <c r="A47" s="18" t="s">
        <v>44</v>
      </c>
      <c r="B47" s="19" t="s">
        <v>490</v>
      </c>
      <c r="C47" s="20" t="s">
        <v>502</v>
      </c>
      <c r="D47" s="21" t="s">
        <v>77</v>
      </c>
      <c r="E47" s="104"/>
      <c r="F47" s="18">
        <v>342710</v>
      </c>
      <c r="G47" s="19" t="s">
        <v>542</v>
      </c>
      <c r="H47" s="18">
        <v>1</v>
      </c>
      <c r="I47" s="18" t="s">
        <v>146</v>
      </c>
      <c r="J47" s="56"/>
    </row>
    <row r="48" spans="1:10" ht="15.75" customHeight="1" x14ac:dyDescent="0.2">
      <c r="A48" s="18" t="s">
        <v>44</v>
      </c>
      <c r="B48" s="19" t="s">
        <v>490</v>
      </c>
      <c r="C48" s="20" t="s">
        <v>502</v>
      </c>
      <c r="D48" s="21" t="s">
        <v>77</v>
      </c>
      <c r="E48" s="105"/>
      <c r="F48" s="18">
        <v>342718</v>
      </c>
      <c r="G48" s="19" t="s">
        <v>543</v>
      </c>
      <c r="H48" s="18">
        <v>1</v>
      </c>
      <c r="I48" s="18" t="s">
        <v>146</v>
      </c>
      <c r="J48" s="56"/>
    </row>
    <row r="49" spans="1:10" ht="15.75" customHeight="1" x14ac:dyDescent="0.2">
      <c r="A49" s="18" t="s">
        <v>44</v>
      </c>
      <c r="B49" s="19" t="s">
        <v>490</v>
      </c>
      <c r="C49" s="20" t="s">
        <v>502</v>
      </c>
      <c r="D49" s="21" t="s">
        <v>77</v>
      </c>
      <c r="E49" s="103" t="e" vm="85">
        <v>#VALUE!</v>
      </c>
      <c r="F49" s="18">
        <v>42712</v>
      </c>
      <c r="G49" s="19" t="s">
        <v>544</v>
      </c>
      <c r="H49" s="18">
        <v>1</v>
      </c>
      <c r="I49" s="18" t="s">
        <v>146</v>
      </c>
      <c r="J49" s="56"/>
    </row>
    <row r="50" spans="1:10" ht="15.75" customHeight="1" x14ac:dyDescent="0.2">
      <c r="A50" s="18" t="s">
        <v>44</v>
      </c>
      <c r="B50" s="19" t="s">
        <v>490</v>
      </c>
      <c r="C50" s="20" t="s">
        <v>502</v>
      </c>
      <c r="D50" s="21" t="s">
        <v>77</v>
      </c>
      <c r="E50" s="104"/>
      <c r="F50" s="18">
        <v>342713</v>
      </c>
      <c r="G50" s="19" t="s">
        <v>545</v>
      </c>
      <c r="H50" s="18">
        <v>1</v>
      </c>
      <c r="I50" s="18" t="s">
        <v>146</v>
      </c>
      <c r="J50" s="56"/>
    </row>
    <row r="51" spans="1:10" ht="15.75" customHeight="1" x14ac:dyDescent="0.2">
      <c r="A51" s="18" t="s">
        <v>44</v>
      </c>
      <c r="B51" s="19" t="s">
        <v>490</v>
      </c>
      <c r="C51" s="20" t="s">
        <v>502</v>
      </c>
      <c r="D51" s="21" t="s">
        <v>77</v>
      </c>
      <c r="E51" s="104"/>
      <c r="F51" s="18">
        <v>342714</v>
      </c>
      <c r="G51" s="19" t="s">
        <v>546</v>
      </c>
      <c r="H51" s="18">
        <v>1</v>
      </c>
      <c r="I51" s="18" t="s">
        <v>146</v>
      </c>
      <c r="J51" s="56"/>
    </row>
    <row r="52" spans="1:10" ht="15.75" customHeight="1" x14ac:dyDescent="0.2">
      <c r="A52" s="18" t="s">
        <v>44</v>
      </c>
      <c r="B52" s="19" t="s">
        <v>490</v>
      </c>
      <c r="C52" s="20" t="s">
        <v>502</v>
      </c>
      <c r="D52" s="21" t="s">
        <v>77</v>
      </c>
      <c r="E52" s="104"/>
      <c r="F52" s="18">
        <v>342715</v>
      </c>
      <c r="G52" s="19" t="s">
        <v>547</v>
      </c>
      <c r="H52" s="18">
        <v>1</v>
      </c>
      <c r="I52" s="18" t="s">
        <v>146</v>
      </c>
      <c r="J52" s="56"/>
    </row>
    <row r="53" spans="1:10" ht="15.75" customHeight="1" x14ac:dyDescent="0.2">
      <c r="A53" s="18" t="s">
        <v>44</v>
      </c>
      <c r="B53" s="19" t="s">
        <v>490</v>
      </c>
      <c r="C53" s="20" t="s">
        <v>502</v>
      </c>
      <c r="D53" s="21" t="s">
        <v>77</v>
      </c>
      <c r="E53" s="104"/>
      <c r="F53" s="18">
        <v>342716</v>
      </c>
      <c r="G53" s="19" t="s">
        <v>548</v>
      </c>
      <c r="H53" s="18">
        <v>1</v>
      </c>
      <c r="I53" s="18" t="s">
        <v>146</v>
      </c>
      <c r="J53" s="56"/>
    </row>
    <row r="54" spans="1:10" ht="15.75" customHeight="1" x14ac:dyDescent="0.2">
      <c r="A54" s="18" t="s">
        <v>44</v>
      </c>
      <c r="B54" s="19" t="s">
        <v>490</v>
      </c>
      <c r="C54" s="20" t="s">
        <v>502</v>
      </c>
      <c r="D54" s="21" t="s">
        <v>77</v>
      </c>
      <c r="E54" s="105"/>
      <c r="F54" s="18">
        <v>342717</v>
      </c>
      <c r="G54" s="19" t="s">
        <v>549</v>
      </c>
      <c r="H54" s="18">
        <v>1</v>
      </c>
      <c r="I54" s="18" t="s">
        <v>146</v>
      </c>
      <c r="J54" s="56"/>
    </row>
    <row r="55" spans="1:10" ht="15.75" customHeight="1" x14ac:dyDescent="0.2">
      <c r="A55" s="18" t="s">
        <v>44</v>
      </c>
      <c r="B55" s="19" t="s">
        <v>490</v>
      </c>
      <c r="C55" s="20" t="s">
        <v>502</v>
      </c>
      <c r="D55" s="21" t="s">
        <v>77</v>
      </c>
      <c r="E55" s="103" t="e" vm="86">
        <v>#VALUE!</v>
      </c>
      <c r="F55" s="18">
        <v>42005</v>
      </c>
      <c r="G55" s="19" t="s">
        <v>550</v>
      </c>
      <c r="H55" s="18">
        <v>1</v>
      </c>
      <c r="I55" s="18" t="s">
        <v>146</v>
      </c>
      <c r="J55" s="56"/>
    </row>
    <row r="56" spans="1:10" ht="15.75" customHeight="1" x14ac:dyDescent="0.2">
      <c r="A56" s="18" t="s">
        <v>44</v>
      </c>
      <c r="B56" s="19" t="s">
        <v>490</v>
      </c>
      <c r="C56" s="20" t="s">
        <v>502</v>
      </c>
      <c r="D56" s="21" t="s">
        <v>77</v>
      </c>
      <c r="E56" s="104"/>
      <c r="F56" s="18">
        <v>342006</v>
      </c>
      <c r="G56" s="19" t="s">
        <v>551</v>
      </c>
      <c r="H56" s="18">
        <v>1</v>
      </c>
      <c r="I56" s="18" t="s">
        <v>146</v>
      </c>
      <c r="J56" s="56"/>
    </row>
    <row r="57" spans="1:10" ht="15.75" customHeight="1" x14ac:dyDescent="0.2">
      <c r="A57" s="18" t="s">
        <v>44</v>
      </c>
      <c r="B57" s="19" t="s">
        <v>490</v>
      </c>
      <c r="C57" s="20" t="s">
        <v>502</v>
      </c>
      <c r="D57" s="21" t="s">
        <v>77</v>
      </c>
      <c r="E57" s="104"/>
      <c r="F57" s="18">
        <v>342008</v>
      </c>
      <c r="G57" s="19" t="s">
        <v>552</v>
      </c>
      <c r="H57" s="18">
        <v>1</v>
      </c>
      <c r="I57" s="18" t="s">
        <v>146</v>
      </c>
      <c r="J57" s="56"/>
    </row>
    <row r="58" spans="1:10" ht="15.75" customHeight="1" x14ac:dyDescent="0.2">
      <c r="A58" s="18" t="s">
        <v>44</v>
      </c>
      <c r="B58" s="19" t="s">
        <v>490</v>
      </c>
      <c r="C58" s="20" t="s">
        <v>502</v>
      </c>
      <c r="D58" s="21" t="s">
        <v>77</v>
      </c>
      <c r="E58" s="104"/>
      <c r="F58" s="18">
        <v>342010</v>
      </c>
      <c r="G58" s="19" t="s">
        <v>553</v>
      </c>
      <c r="H58" s="18">
        <v>1</v>
      </c>
      <c r="I58" s="18" t="s">
        <v>146</v>
      </c>
      <c r="J58" s="56"/>
    </row>
    <row r="59" spans="1:10" ht="15.75" customHeight="1" x14ac:dyDescent="0.2">
      <c r="A59" s="18" t="s">
        <v>44</v>
      </c>
      <c r="B59" s="19" t="s">
        <v>490</v>
      </c>
      <c r="C59" s="20" t="s">
        <v>502</v>
      </c>
      <c r="D59" s="21" t="s">
        <v>77</v>
      </c>
      <c r="E59" s="105"/>
      <c r="F59" s="18">
        <v>342016</v>
      </c>
      <c r="G59" s="19" t="s">
        <v>554</v>
      </c>
      <c r="H59" s="18">
        <v>1</v>
      </c>
      <c r="I59" s="18" t="s">
        <v>146</v>
      </c>
      <c r="J59" s="56"/>
    </row>
    <row r="60" spans="1:10" ht="15.75" customHeight="1" x14ac:dyDescent="0.2">
      <c r="A60" s="18" t="s">
        <v>44</v>
      </c>
      <c r="B60" s="19" t="s">
        <v>490</v>
      </c>
      <c r="C60" s="20" t="s">
        <v>502</v>
      </c>
      <c r="D60" s="21" t="s">
        <v>77</v>
      </c>
      <c r="E60" s="103" t="e" vm="87">
        <v>#VALUE!</v>
      </c>
      <c r="F60" s="18">
        <v>342505</v>
      </c>
      <c r="G60" s="19" t="s">
        <v>555</v>
      </c>
      <c r="H60" s="18">
        <v>1</v>
      </c>
      <c r="I60" s="18" t="s">
        <v>48</v>
      </c>
      <c r="J60" s="56"/>
    </row>
    <row r="61" spans="1:10" ht="15.75" customHeight="1" x14ac:dyDescent="0.2">
      <c r="A61" s="18" t="s">
        <v>44</v>
      </c>
      <c r="B61" s="19" t="s">
        <v>490</v>
      </c>
      <c r="C61" s="20" t="s">
        <v>502</v>
      </c>
      <c r="D61" s="21" t="s">
        <v>77</v>
      </c>
      <c r="E61" s="104"/>
      <c r="F61" s="18">
        <v>342506</v>
      </c>
      <c r="G61" s="19" t="s">
        <v>556</v>
      </c>
      <c r="H61" s="18">
        <v>1</v>
      </c>
      <c r="I61" s="18" t="s">
        <v>48</v>
      </c>
      <c r="J61" s="56"/>
    </row>
    <row r="62" spans="1:10" ht="15.75" customHeight="1" x14ac:dyDescent="0.2">
      <c r="A62" s="18" t="s">
        <v>44</v>
      </c>
      <c r="B62" s="19" t="s">
        <v>490</v>
      </c>
      <c r="C62" s="20" t="s">
        <v>502</v>
      </c>
      <c r="D62" s="21" t="s">
        <v>77</v>
      </c>
      <c r="E62" s="104"/>
      <c r="F62" s="18">
        <v>342508</v>
      </c>
      <c r="G62" s="19" t="s">
        <v>557</v>
      </c>
      <c r="H62" s="18">
        <v>1</v>
      </c>
      <c r="I62" s="18" t="s">
        <v>48</v>
      </c>
      <c r="J62" s="56"/>
    </row>
    <row r="63" spans="1:10" ht="15.75" customHeight="1" x14ac:dyDescent="0.2">
      <c r="A63" s="18" t="s">
        <v>44</v>
      </c>
      <c r="B63" s="19" t="s">
        <v>490</v>
      </c>
      <c r="C63" s="20" t="s">
        <v>502</v>
      </c>
      <c r="D63" s="21" t="s">
        <v>77</v>
      </c>
      <c r="E63" s="104"/>
      <c r="F63" s="18">
        <v>342510</v>
      </c>
      <c r="G63" s="19" t="s">
        <v>558</v>
      </c>
      <c r="H63" s="18">
        <v>1</v>
      </c>
      <c r="I63" s="18" t="s">
        <v>48</v>
      </c>
      <c r="J63" s="56"/>
    </row>
    <row r="64" spans="1:10" ht="15.75" customHeight="1" x14ac:dyDescent="0.2">
      <c r="A64" s="18" t="s">
        <v>44</v>
      </c>
      <c r="B64" s="19" t="s">
        <v>490</v>
      </c>
      <c r="C64" s="20" t="s">
        <v>502</v>
      </c>
      <c r="D64" s="21" t="s">
        <v>77</v>
      </c>
      <c r="E64" s="105"/>
      <c r="F64" s="18">
        <v>342516</v>
      </c>
      <c r="G64" s="19" t="s">
        <v>559</v>
      </c>
      <c r="H64" s="18">
        <v>1</v>
      </c>
      <c r="I64" s="18" t="s">
        <v>146</v>
      </c>
      <c r="J64" s="56"/>
    </row>
    <row r="65" spans="1:10" ht="18.75" customHeight="1" x14ac:dyDescent="0.2">
      <c r="A65" s="18" t="s">
        <v>44</v>
      </c>
      <c r="B65" s="19" t="s">
        <v>490</v>
      </c>
      <c r="C65" s="20" t="s">
        <v>560</v>
      </c>
      <c r="D65" s="21" t="s">
        <v>77</v>
      </c>
      <c r="E65" s="124" t="e" vm="88">
        <v>#VALUE!</v>
      </c>
      <c r="F65" s="18">
        <v>60001</v>
      </c>
      <c r="G65" s="19" t="s">
        <v>561</v>
      </c>
      <c r="H65" s="18">
        <v>1</v>
      </c>
      <c r="I65" s="18" t="s">
        <v>146</v>
      </c>
      <c r="J65" s="56"/>
    </row>
    <row r="66" spans="1:10" ht="20.25" customHeight="1" x14ac:dyDescent="0.2">
      <c r="A66" s="18" t="s">
        <v>44</v>
      </c>
      <c r="B66" s="19" t="s">
        <v>490</v>
      </c>
      <c r="C66" s="20" t="s">
        <v>560</v>
      </c>
      <c r="D66" s="21" t="s">
        <v>77</v>
      </c>
      <c r="E66" s="124"/>
      <c r="F66" s="18">
        <v>60002</v>
      </c>
      <c r="G66" s="19" t="s">
        <v>562</v>
      </c>
      <c r="H66" s="18">
        <v>1</v>
      </c>
      <c r="I66" s="18" t="s">
        <v>146</v>
      </c>
      <c r="J66" s="56"/>
    </row>
    <row r="67" spans="1:10" ht="21" customHeight="1" x14ac:dyDescent="0.2">
      <c r="A67" s="18" t="s">
        <v>44</v>
      </c>
      <c r="B67" s="19" t="s">
        <v>490</v>
      </c>
      <c r="C67" s="20" t="s">
        <v>560</v>
      </c>
      <c r="D67" s="21" t="s">
        <v>77</v>
      </c>
      <c r="E67" s="35" t="e" vm="89">
        <v>#VALUE!</v>
      </c>
      <c r="F67" s="18">
        <v>60003</v>
      </c>
      <c r="G67" s="19" t="s">
        <v>563</v>
      </c>
      <c r="H67" s="18">
        <v>1</v>
      </c>
      <c r="I67" s="18" t="s">
        <v>146</v>
      </c>
      <c r="J67" s="56"/>
    </row>
    <row r="68" spans="1:10" ht="15.75" customHeight="1" x14ac:dyDescent="0.2">
      <c r="A68" s="40"/>
      <c r="B68" s="41"/>
      <c r="C68" s="41"/>
      <c r="D68" s="42"/>
      <c r="E68" s="80"/>
      <c r="F68" s="42"/>
      <c r="G68" s="42"/>
      <c r="H68" s="41"/>
      <c r="I68" s="42"/>
    </row>
  </sheetData>
  <mergeCells count="16">
    <mergeCell ref="E3:E7"/>
    <mergeCell ref="E19:E20"/>
    <mergeCell ref="B1:I1"/>
    <mergeCell ref="E26:E27"/>
    <mergeCell ref="E65:E66"/>
    <mergeCell ref="E42:E43"/>
    <mergeCell ref="E8:E12"/>
    <mergeCell ref="E55:E59"/>
    <mergeCell ref="E33:E38"/>
    <mergeCell ref="E28:E32"/>
    <mergeCell ref="E49:E54"/>
    <mergeCell ref="E13:E17"/>
    <mergeCell ref="E39:E41"/>
    <mergeCell ref="E21:E25"/>
    <mergeCell ref="E44:E48"/>
    <mergeCell ref="E60:E64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67" xr:uid="{00000000-0002-0000-0A00-000000000000}">
      <formula1>0</formula1>
    </dataValidation>
  </dataValidations>
  <hyperlinks>
    <hyperlink ref="A1" location="'Menú por Categoría'!C14" display="Volver al menú principal" xr:uid="{00000000-0004-0000-0A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1:J244"/>
  <sheetViews>
    <sheetView showGridLines="0" zoomScale="70" zoomScaleNormal="70" workbookViewId="0">
      <pane ySplit="2" topLeftCell="A3" activePane="bottomLeft" state="frozen"/>
      <selection pane="bottomLeft" activeCell="K40" sqref="K40"/>
    </sheetView>
  </sheetViews>
  <sheetFormatPr baseColWidth="10" defaultColWidth="16" defaultRowHeight="15.75" customHeight="1" x14ac:dyDescent="0.2"/>
  <cols>
    <col min="1" max="1" width="22.5" style="10" customWidth="1"/>
    <col min="2" max="2" width="24.332031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6384" width="16" style="10"/>
  </cols>
  <sheetData>
    <row r="1" spans="1:10" ht="72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15.75" customHeight="1" x14ac:dyDescent="0.2">
      <c r="A3" s="18" t="s">
        <v>44</v>
      </c>
      <c r="B3" s="20" t="s">
        <v>564</v>
      </c>
      <c r="C3" s="20" t="s">
        <v>565</v>
      </c>
      <c r="D3" s="21" t="s">
        <v>46</v>
      </c>
      <c r="E3" s="103" t="e" vm="90">
        <v>#VALUE!</v>
      </c>
      <c r="F3" s="18">
        <v>15002</v>
      </c>
      <c r="G3" s="19" t="s">
        <v>566</v>
      </c>
      <c r="H3" s="18">
        <v>20</v>
      </c>
      <c r="I3" s="18" t="s">
        <v>48</v>
      </c>
      <c r="J3" s="56"/>
    </row>
    <row r="4" spans="1:10" ht="15.75" customHeight="1" x14ac:dyDescent="0.2">
      <c r="A4" s="18" t="s">
        <v>44</v>
      </c>
      <c r="B4" s="20" t="s">
        <v>564</v>
      </c>
      <c r="C4" s="20" t="s">
        <v>565</v>
      </c>
      <c r="D4" s="21" t="s">
        <v>46</v>
      </c>
      <c r="E4" s="104"/>
      <c r="F4" s="18">
        <v>15003</v>
      </c>
      <c r="G4" s="19" t="s">
        <v>567</v>
      </c>
      <c r="H4" s="18">
        <v>20</v>
      </c>
      <c r="I4" s="18" t="s">
        <v>48</v>
      </c>
      <c r="J4" s="56"/>
    </row>
    <row r="5" spans="1:10" ht="15.75" customHeight="1" x14ac:dyDescent="0.2">
      <c r="A5" s="18" t="s">
        <v>44</v>
      </c>
      <c r="B5" s="20" t="s">
        <v>564</v>
      </c>
      <c r="C5" s="20" t="s">
        <v>565</v>
      </c>
      <c r="D5" s="21" t="s">
        <v>46</v>
      </c>
      <c r="E5" s="104"/>
      <c r="F5" s="18">
        <v>15004</v>
      </c>
      <c r="G5" s="19" t="s">
        <v>568</v>
      </c>
      <c r="H5" s="18">
        <v>10</v>
      </c>
      <c r="I5" s="18" t="s">
        <v>48</v>
      </c>
      <c r="J5" s="56"/>
    </row>
    <row r="6" spans="1:10" ht="15.75" customHeight="1" x14ac:dyDescent="0.2">
      <c r="A6" s="18" t="s">
        <v>44</v>
      </c>
      <c r="B6" s="20" t="s">
        <v>564</v>
      </c>
      <c r="C6" s="20" t="s">
        <v>565</v>
      </c>
      <c r="D6" s="21" t="s">
        <v>46</v>
      </c>
      <c r="E6" s="104"/>
      <c r="F6" s="18">
        <v>15005</v>
      </c>
      <c r="G6" s="19" t="s">
        <v>569</v>
      </c>
      <c r="H6" s="18">
        <v>1</v>
      </c>
      <c r="I6" s="18" t="s">
        <v>146</v>
      </c>
      <c r="J6" s="56"/>
    </row>
    <row r="7" spans="1:10" ht="15.75" customHeight="1" x14ac:dyDescent="0.2">
      <c r="A7" s="18" t="s">
        <v>44</v>
      </c>
      <c r="B7" s="20" t="s">
        <v>564</v>
      </c>
      <c r="C7" s="20" t="s">
        <v>565</v>
      </c>
      <c r="D7" s="21" t="s">
        <v>46</v>
      </c>
      <c r="E7" s="104"/>
      <c r="F7" s="18">
        <v>15006</v>
      </c>
      <c r="G7" s="19" t="s">
        <v>570</v>
      </c>
      <c r="H7" s="18">
        <v>1</v>
      </c>
      <c r="I7" s="18" t="s">
        <v>146</v>
      </c>
      <c r="J7" s="56"/>
    </row>
    <row r="8" spans="1:10" ht="15.75" customHeight="1" x14ac:dyDescent="0.2">
      <c r="A8" s="18" t="s">
        <v>44</v>
      </c>
      <c r="B8" s="20" t="s">
        <v>564</v>
      </c>
      <c r="C8" s="20" t="s">
        <v>565</v>
      </c>
      <c r="D8" s="21" t="s">
        <v>46</v>
      </c>
      <c r="E8" s="104"/>
      <c r="F8" s="18">
        <v>15007</v>
      </c>
      <c r="G8" s="19" t="s">
        <v>571</v>
      </c>
      <c r="H8" s="18">
        <v>1</v>
      </c>
      <c r="I8" s="18" t="s">
        <v>146</v>
      </c>
      <c r="J8" s="56"/>
    </row>
    <row r="9" spans="1:10" ht="15.75" customHeight="1" x14ac:dyDescent="0.2">
      <c r="A9" s="18" t="s">
        <v>44</v>
      </c>
      <c r="B9" s="20" t="s">
        <v>564</v>
      </c>
      <c r="C9" s="20" t="s">
        <v>565</v>
      </c>
      <c r="D9" s="21" t="s">
        <v>46</v>
      </c>
      <c r="E9" s="104"/>
      <c r="F9" s="18">
        <v>15008</v>
      </c>
      <c r="G9" s="19" t="s">
        <v>572</v>
      </c>
      <c r="H9" s="18">
        <v>1</v>
      </c>
      <c r="I9" s="18" t="s">
        <v>146</v>
      </c>
      <c r="J9" s="56"/>
    </row>
    <row r="10" spans="1:10" ht="15.75" customHeight="1" x14ac:dyDescent="0.2">
      <c r="A10" s="18" t="s">
        <v>44</v>
      </c>
      <c r="B10" s="20" t="s">
        <v>564</v>
      </c>
      <c r="C10" s="20" t="s">
        <v>565</v>
      </c>
      <c r="D10" s="21" t="s">
        <v>46</v>
      </c>
      <c r="E10" s="104"/>
      <c r="F10" s="18">
        <v>15009</v>
      </c>
      <c r="G10" s="19" t="s">
        <v>573</v>
      </c>
      <c r="H10" s="18">
        <v>1</v>
      </c>
      <c r="I10" s="18" t="s">
        <v>146</v>
      </c>
      <c r="J10" s="56"/>
    </row>
    <row r="11" spans="1:10" ht="15" customHeight="1" x14ac:dyDescent="0.2">
      <c r="A11" s="18" t="s">
        <v>44</v>
      </c>
      <c r="B11" s="20" t="s">
        <v>564</v>
      </c>
      <c r="C11" s="20" t="s">
        <v>565</v>
      </c>
      <c r="D11" s="21" t="s">
        <v>46</v>
      </c>
      <c r="E11" s="104"/>
      <c r="F11" s="18">
        <v>15010</v>
      </c>
      <c r="G11" s="19" t="s">
        <v>574</v>
      </c>
      <c r="H11" s="18">
        <v>1</v>
      </c>
      <c r="I11" s="18" t="s">
        <v>146</v>
      </c>
      <c r="J11" s="56"/>
    </row>
    <row r="12" spans="1:10" ht="15" customHeight="1" x14ac:dyDescent="0.2">
      <c r="A12" s="18" t="s">
        <v>44</v>
      </c>
      <c r="B12" s="20" t="s">
        <v>564</v>
      </c>
      <c r="C12" s="20" t="s">
        <v>565</v>
      </c>
      <c r="D12" s="21" t="s">
        <v>46</v>
      </c>
      <c r="E12" s="104"/>
      <c r="F12" s="18">
        <v>15011</v>
      </c>
      <c r="G12" s="19" t="s">
        <v>575</v>
      </c>
      <c r="H12" s="18">
        <v>1</v>
      </c>
      <c r="I12" s="18" t="s">
        <v>146</v>
      </c>
      <c r="J12" s="56"/>
    </row>
    <row r="13" spans="1:10" ht="15" customHeight="1" x14ac:dyDescent="0.2">
      <c r="A13" s="18" t="s">
        <v>44</v>
      </c>
      <c r="B13" s="20" t="s">
        <v>564</v>
      </c>
      <c r="C13" s="20" t="s">
        <v>565</v>
      </c>
      <c r="D13" s="21" t="s">
        <v>46</v>
      </c>
      <c r="E13" s="104"/>
      <c r="F13" s="18">
        <v>15012</v>
      </c>
      <c r="G13" s="19" t="s">
        <v>576</v>
      </c>
      <c r="H13" s="18">
        <v>1</v>
      </c>
      <c r="I13" s="18" t="s">
        <v>146</v>
      </c>
      <c r="J13" s="56"/>
    </row>
    <row r="14" spans="1:10" ht="15.75" customHeight="1" x14ac:dyDescent="0.2">
      <c r="A14" s="18" t="s">
        <v>44</v>
      </c>
      <c r="B14" s="20" t="s">
        <v>564</v>
      </c>
      <c r="C14" s="20" t="s">
        <v>565</v>
      </c>
      <c r="D14" s="21" t="s">
        <v>46</v>
      </c>
      <c r="E14" s="104"/>
      <c r="F14" s="18">
        <v>15102</v>
      </c>
      <c r="G14" s="19" t="s">
        <v>577</v>
      </c>
      <c r="H14" s="18">
        <v>20</v>
      </c>
      <c r="I14" s="18" t="s">
        <v>48</v>
      </c>
      <c r="J14" s="56"/>
    </row>
    <row r="15" spans="1:10" ht="15.75" customHeight="1" x14ac:dyDescent="0.2">
      <c r="A15" s="18" t="s">
        <v>44</v>
      </c>
      <c r="B15" s="20" t="s">
        <v>564</v>
      </c>
      <c r="C15" s="20" t="s">
        <v>565</v>
      </c>
      <c r="D15" s="21" t="s">
        <v>46</v>
      </c>
      <c r="E15" s="104"/>
      <c r="F15" s="18">
        <v>15103</v>
      </c>
      <c r="G15" s="19" t="s">
        <v>578</v>
      </c>
      <c r="H15" s="18">
        <v>20</v>
      </c>
      <c r="I15" s="18" t="s">
        <v>48</v>
      </c>
      <c r="J15" s="56"/>
    </row>
    <row r="16" spans="1:10" ht="15.75" customHeight="1" x14ac:dyDescent="0.2">
      <c r="A16" s="18" t="s">
        <v>44</v>
      </c>
      <c r="B16" s="20" t="s">
        <v>564</v>
      </c>
      <c r="C16" s="20" t="s">
        <v>565</v>
      </c>
      <c r="D16" s="21" t="s">
        <v>46</v>
      </c>
      <c r="E16" s="104"/>
      <c r="F16" s="18">
        <v>15104</v>
      </c>
      <c r="G16" s="19" t="s">
        <v>579</v>
      </c>
      <c r="H16" s="18">
        <v>10</v>
      </c>
      <c r="I16" s="18" t="s">
        <v>48</v>
      </c>
      <c r="J16" s="56"/>
    </row>
    <row r="17" spans="1:10" ht="15.75" customHeight="1" x14ac:dyDescent="0.2">
      <c r="A17" s="18" t="s">
        <v>44</v>
      </c>
      <c r="B17" s="20" t="s">
        <v>564</v>
      </c>
      <c r="C17" s="20" t="s">
        <v>565</v>
      </c>
      <c r="D17" s="21" t="s">
        <v>46</v>
      </c>
      <c r="E17" s="104"/>
      <c r="F17" s="18">
        <v>15105</v>
      </c>
      <c r="G17" s="19" t="s">
        <v>580</v>
      </c>
      <c r="H17" s="18">
        <v>1</v>
      </c>
      <c r="I17" s="18" t="s">
        <v>146</v>
      </c>
      <c r="J17" s="56"/>
    </row>
    <row r="18" spans="1:10" ht="15.75" customHeight="1" x14ac:dyDescent="0.2">
      <c r="A18" s="18" t="s">
        <v>44</v>
      </c>
      <c r="B18" s="20" t="s">
        <v>564</v>
      </c>
      <c r="C18" s="20" t="s">
        <v>565</v>
      </c>
      <c r="D18" s="21" t="s">
        <v>46</v>
      </c>
      <c r="E18" s="104"/>
      <c r="F18" s="18">
        <v>15106</v>
      </c>
      <c r="G18" s="19" t="s">
        <v>581</v>
      </c>
      <c r="H18" s="18">
        <v>1</v>
      </c>
      <c r="I18" s="18" t="s">
        <v>146</v>
      </c>
      <c r="J18" s="56"/>
    </row>
    <row r="19" spans="1:10" ht="15.75" customHeight="1" x14ac:dyDescent="0.2">
      <c r="A19" s="18" t="s">
        <v>44</v>
      </c>
      <c r="B19" s="20" t="s">
        <v>564</v>
      </c>
      <c r="C19" s="20" t="s">
        <v>565</v>
      </c>
      <c r="D19" s="21" t="s">
        <v>46</v>
      </c>
      <c r="E19" s="104"/>
      <c r="F19" s="18">
        <v>15202</v>
      </c>
      <c r="G19" s="19" t="s">
        <v>582</v>
      </c>
      <c r="H19" s="18">
        <v>20</v>
      </c>
      <c r="I19" s="18" t="s">
        <v>48</v>
      </c>
      <c r="J19" s="56"/>
    </row>
    <row r="20" spans="1:10" ht="15.75" customHeight="1" x14ac:dyDescent="0.2">
      <c r="A20" s="18" t="s">
        <v>44</v>
      </c>
      <c r="B20" s="20" t="s">
        <v>564</v>
      </c>
      <c r="C20" s="20" t="s">
        <v>565</v>
      </c>
      <c r="D20" s="21" t="s">
        <v>46</v>
      </c>
      <c r="E20" s="104"/>
      <c r="F20" s="18">
        <v>15203</v>
      </c>
      <c r="G20" s="19" t="s">
        <v>583</v>
      </c>
      <c r="H20" s="18">
        <v>20</v>
      </c>
      <c r="I20" s="18" t="s">
        <v>48</v>
      </c>
      <c r="J20" s="56"/>
    </row>
    <row r="21" spans="1:10" ht="15.75" customHeight="1" x14ac:dyDescent="0.2">
      <c r="A21" s="18" t="s">
        <v>44</v>
      </c>
      <c r="B21" s="20" t="s">
        <v>564</v>
      </c>
      <c r="C21" s="20" t="s">
        <v>565</v>
      </c>
      <c r="D21" s="21" t="s">
        <v>46</v>
      </c>
      <c r="E21" s="104"/>
      <c r="F21" s="18">
        <v>15204</v>
      </c>
      <c r="G21" s="19" t="s">
        <v>584</v>
      </c>
      <c r="H21" s="18">
        <v>10</v>
      </c>
      <c r="I21" s="18" t="s">
        <v>48</v>
      </c>
      <c r="J21" s="56"/>
    </row>
    <row r="22" spans="1:10" ht="15.75" customHeight="1" x14ac:dyDescent="0.2">
      <c r="A22" s="18" t="s">
        <v>44</v>
      </c>
      <c r="B22" s="20" t="s">
        <v>564</v>
      </c>
      <c r="C22" s="20" t="s">
        <v>565</v>
      </c>
      <c r="D22" s="21" t="s">
        <v>46</v>
      </c>
      <c r="E22" s="104"/>
      <c r="F22" s="18">
        <v>15205</v>
      </c>
      <c r="G22" s="19" t="s">
        <v>585</v>
      </c>
      <c r="H22" s="18">
        <v>1</v>
      </c>
      <c r="I22" s="18" t="s">
        <v>146</v>
      </c>
      <c r="J22" s="56"/>
    </row>
    <row r="23" spans="1:10" ht="15.75" customHeight="1" x14ac:dyDescent="0.2">
      <c r="A23" s="18" t="s">
        <v>44</v>
      </c>
      <c r="B23" s="20" t="s">
        <v>564</v>
      </c>
      <c r="C23" s="20" t="s">
        <v>565</v>
      </c>
      <c r="D23" s="21" t="s">
        <v>46</v>
      </c>
      <c r="E23" s="105"/>
      <c r="F23" s="18">
        <v>15206</v>
      </c>
      <c r="G23" s="19" t="s">
        <v>586</v>
      </c>
      <c r="H23" s="18">
        <v>1</v>
      </c>
      <c r="I23" s="18" t="s">
        <v>146</v>
      </c>
      <c r="J23" s="56"/>
    </row>
    <row r="24" spans="1:10" ht="15.75" customHeight="1" x14ac:dyDescent="0.2">
      <c r="A24" s="18" t="s">
        <v>44</v>
      </c>
      <c r="B24" s="20" t="s">
        <v>564</v>
      </c>
      <c r="C24" s="20" t="s">
        <v>565</v>
      </c>
      <c r="D24" s="21" t="s">
        <v>46</v>
      </c>
      <c r="E24" s="113" t="e" vm="90">
        <v>#VALUE!</v>
      </c>
      <c r="F24" s="18">
        <v>15045</v>
      </c>
      <c r="G24" s="19" t="s">
        <v>587</v>
      </c>
      <c r="H24" s="18">
        <v>1</v>
      </c>
      <c r="I24" s="18" t="s">
        <v>146</v>
      </c>
      <c r="J24" s="56"/>
    </row>
    <row r="25" spans="1:10" ht="15.75" customHeight="1" x14ac:dyDescent="0.2">
      <c r="A25" s="18" t="s">
        <v>44</v>
      </c>
      <c r="B25" s="20" t="s">
        <v>564</v>
      </c>
      <c r="C25" s="20" t="s">
        <v>565</v>
      </c>
      <c r="D25" s="21" t="s">
        <v>46</v>
      </c>
      <c r="E25" s="104"/>
      <c r="F25" s="18">
        <v>15046</v>
      </c>
      <c r="G25" s="19" t="s">
        <v>588</v>
      </c>
      <c r="H25" s="18">
        <v>1</v>
      </c>
      <c r="I25" s="18" t="s">
        <v>146</v>
      </c>
      <c r="J25" s="56"/>
    </row>
    <row r="26" spans="1:10" ht="15.75" customHeight="1" x14ac:dyDescent="0.2">
      <c r="A26" s="18" t="s">
        <v>44</v>
      </c>
      <c r="B26" s="20" t="s">
        <v>564</v>
      </c>
      <c r="C26" s="20" t="s">
        <v>565</v>
      </c>
      <c r="D26" s="21" t="s">
        <v>46</v>
      </c>
      <c r="E26" s="104"/>
      <c r="F26" s="18">
        <v>15047</v>
      </c>
      <c r="G26" s="19" t="s">
        <v>589</v>
      </c>
      <c r="H26" s="18">
        <v>1</v>
      </c>
      <c r="I26" s="18" t="s">
        <v>146</v>
      </c>
      <c r="J26" s="56"/>
    </row>
    <row r="27" spans="1:10" ht="15.75" customHeight="1" x14ac:dyDescent="0.2">
      <c r="A27" s="18" t="s">
        <v>44</v>
      </c>
      <c r="B27" s="20" t="s">
        <v>564</v>
      </c>
      <c r="C27" s="20" t="s">
        <v>565</v>
      </c>
      <c r="D27" s="21" t="s">
        <v>46</v>
      </c>
      <c r="E27" s="104"/>
      <c r="F27" s="18">
        <v>15048</v>
      </c>
      <c r="G27" s="19" t="s">
        <v>590</v>
      </c>
      <c r="H27" s="18">
        <v>1</v>
      </c>
      <c r="I27" s="18" t="s">
        <v>146</v>
      </c>
      <c r="J27" s="56"/>
    </row>
    <row r="28" spans="1:10" ht="15.75" customHeight="1" x14ac:dyDescent="0.2">
      <c r="A28" s="18" t="s">
        <v>44</v>
      </c>
      <c r="B28" s="20" t="s">
        <v>564</v>
      </c>
      <c r="C28" s="20" t="s">
        <v>565</v>
      </c>
      <c r="D28" s="21" t="s">
        <v>46</v>
      </c>
      <c r="E28" s="104"/>
      <c r="F28" s="18">
        <v>15049</v>
      </c>
      <c r="G28" s="19" t="s">
        <v>591</v>
      </c>
      <c r="H28" s="18">
        <v>1</v>
      </c>
      <c r="I28" s="18" t="s">
        <v>146</v>
      </c>
      <c r="J28" s="56"/>
    </row>
    <row r="29" spans="1:10" ht="15.75" customHeight="1" x14ac:dyDescent="0.2">
      <c r="A29" s="18" t="s">
        <v>44</v>
      </c>
      <c r="B29" s="20" t="s">
        <v>564</v>
      </c>
      <c r="C29" s="20" t="s">
        <v>565</v>
      </c>
      <c r="D29" s="21" t="s">
        <v>46</v>
      </c>
      <c r="E29" s="104"/>
      <c r="F29" s="18">
        <v>15050</v>
      </c>
      <c r="G29" s="19" t="s">
        <v>592</v>
      </c>
      <c r="H29" s="18">
        <v>1</v>
      </c>
      <c r="I29" s="18" t="s">
        <v>146</v>
      </c>
      <c r="J29" s="56"/>
    </row>
    <row r="30" spans="1:10" ht="15.75" customHeight="1" x14ac:dyDescent="0.2">
      <c r="A30" s="18" t="s">
        <v>44</v>
      </c>
      <c r="B30" s="20" t="s">
        <v>564</v>
      </c>
      <c r="C30" s="20" t="s">
        <v>565</v>
      </c>
      <c r="D30" s="21" t="s">
        <v>46</v>
      </c>
      <c r="E30" s="104"/>
      <c r="F30" s="18">
        <v>15051</v>
      </c>
      <c r="G30" s="19" t="s">
        <v>593</v>
      </c>
      <c r="H30" s="18">
        <v>1</v>
      </c>
      <c r="I30" s="18" t="s">
        <v>146</v>
      </c>
      <c r="J30" s="56"/>
    </row>
    <row r="31" spans="1:10" ht="15.75" customHeight="1" x14ac:dyDescent="0.2">
      <c r="A31" s="18" t="s">
        <v>44</v>
      </c>
      <c r="B31" s="20" t="s">
        <v>564</v>
      </c>
      <c r="C31" s="20" t="s">
        <v>565</v>
      </c>
      <c r="D31" s="21" t="s">
        <v>46</v>
      </c>
      <c r="E31" s="104"/>
      <c r="F31" s="18">
        <v>15052</v>
      </c>
      <c r="G31" s="19" t="s">
        <v>594</v>
      </c>
      <c r="H31" s="18">
        <v>1</v>
      </c>
      <c r="I31" s="18" t="s">
        <v>146</v>
      </c>
      <c r="J31" s="56"/>
    </row>
    <row r="32" spans="1:10" ht="15.75" customHeight="1" x14ac:dyDescent="0.2">
      <c r="A32" s="18" t="s">
        <v>44</v>
      </c>
      <c r="B32" s="20" t="s">
        <v>564</v>
      </c>
      <c r="C32" s="20" t="s">
        <v>565</v>
      </c>
      <c r="D32" s="21" t="s">
        <v>46</v>
      </c>
      <c r="E32" s="104"/>
      <c r="F32" s="18">
        <v>15053</v>
      </c>
      <c r="G32" s="19" t="s">
        <v>595</v>
      </c>
      <c r="H32" s="18">
        <v>1</v>
      </c>
      <c r="I32" s="18" t="s">
        <v>146</v>
      </c>
      <c r="J32" s="56"/>
    </row>
    <row r="33" spans="1:10" ht="15.75" customHeight="1" x14ac:dyDescent="0.2">
      <c r="A33" s="18" t="s">
        <v>44</v>
      </c>
      <c r="B33" s="20" t="s">
        <v>564</v>
      </c>
      <c r="C33" s="20" t="s">
        <v>565</v>
      </c>
      <c r="D33" s="21" t="s">
        <v>46</v>
      </c>
      <c r="E33" s="105"/>
      <c r="F33" s="18">
        <v>15054</v>
      </c>
      <c r="G33" s="19" t="s">
        <v>596</v>
      </c>
      <c r="H33" s="18">
        <v>1</v>
      </c>
      <c r="I33" s="18" t="s">
        <v>146</v>
      </c>
      <c r="J33" s="56"/>
    </row>
    <row r="34" spans="1:10" ht="15.75" customHeight="1" x14ac:dyDescent="0.2">
      <c r="A34" s="18" t="s">
        <v>44</v>
      </c>
      <c r="B34" s="20" t="s">
        <v>564</v>
      </c>
      <c r="C34" s="20" t="s">
        <v>597</v>
      </c>
      <c r="D34" s="21" t="s">
        <v>319</v>
      </c>
      <c r="E34" s="103" t="e" vm="91">
        <v>#VALUE!</v>
      </c>
      <c r="F34" s="18">
        <v>351901</v>
      </c>
      <c r="G34" s="19" t="s">
        <v>598</v>
      </c>
      <c r="H34" s="18">
        <v>10</v>
      </c>
      <c r="I34" s="18" t="s">
        <v>48</v>
      </c>
      <c r="J34" s="56"/>
    </row>
    <row r="35" spans="1:10" ht="15.75" customHeight="1" x14ac:dyDescent="0.2">
      <c r="A35" s="18" t="s">
        <v>44</v>
      </c>
      <c r="B35" s="20" t="s">
        <v>564</v>
      </c>
      <c r="C35" s="20" t="s">
        <v>597</v>
      </c>
      <c r="D35" s="21" t="s">
        <v>319</v>
      </c>
      <c r="E35" s="104"/>
      <c r="F35" s="18">
        <v>351902</v>
      </c>
      <c r="G35" s="19" t="s">
        <v>599</v>
      </c>
      <c r="H35" s="18">
        <v>10</v>
      </c>
      <c r="I35" s="18" t="s">
        <v>48</v>
      </c>
      <c r="J35" s="56"/>
    </row>
    <row r="36" spans="1:10" ht="15.75" customHeight="1" x14ac:dyDescent="0.2">
      <c r="A36" s="18" t="s">
        <v>44</v>
      </c>
      <c r="B36" s="20" t="s">
        <v>564</v>
      </c>
      <c r="C36" s="20" t="s">
        <v>597</v>
      </c>
      <c r="D36" s="21" t="s">
        <v>319</v>
      </c>
      <c r="E36" s="104"/>
      <c r="F36" s="18">
        <v>351903</v>
      </c>
      <c r="G36" s="19" t="s">
        <v>600</v>
      </c>
      <c r="H36" s="18">
        <v>10</v>
      </c>
      <c r="I36" s="18" t="s">
        <v>48</v>
      </c>
      <c r="J36" s="56"/>
    </row>
    <row r="37" spans="1:10" ht="15.75" customHeight="1" x14ac:dyDescent="0.2">
      <c r="A37" s="18" t="s">
        <v>44</v>
      </c>
      <c r="B37" s="20" t="s">
        <v>564</v>
      </c>
      <c r="C37" s="20" t="s">
        <v>597</v>
      </c>
      <c r="D37" s="21" t="s">
        <v>319</v>
      </c>
      <c r="E37" s="104"/>
      <c r="F37" s="18">
        <v>351904</v>
      </c>
      <c r="G37" s="19" t="s">
        <v>601</v>
      </c>
      <c r="H37" s="18">
        <v>5</v>
      </c>
      <c r="I37" s="18" t="s">
        <v>48</v>
      </c>
      <c r="J37" s="56"/>
    </row>
    <row r="38" spans="1:10" ht="15.75" customHeight="1" x14ac:dyDescent="0.2">
      <c r="A38" s="18" t="s">
        <v>44</v>
      </c>
      <c r="B38" s="20" t="s">
        <v>564</v>
      </c>
      <c r="C38" s="20" t="s">
        <v>597</v>
      </c>
      <c r="D38" s="21" t="s">
        <v>319</v>
      </c>
      <c r="E38" s="104"/>
      <c r="F38" s="18">
        <v>351905</v>
      </c>
      <c r="G38" s="19" t="s">
        <v>602</v>
      </c>
      <c r="H38" s="18">
        <v>5</v>
      </c>
      <c r="I38" s="18" t="s">
        <v>48</v>
      </c>
      <c r="J38" s="56"/>
    </row>
    <row r="39" spans="1:10" ht="15.75" customHeight="1" x14ac:dyDescent="0.2">
      <c r="A39" s="18" t="s">
        <v>44</v>
      </c>
      <c r="B39" s="20" t="s">
        <v>564</v>
      </c>
      <c r="C39" s="20" t="s">
        <v>597</v>
      </c>
      <c r="D39" s="21" t="s">
        <v>319</v>
      </c>
      <c r="E39" s="105"/>
      <c r="F39" s="18">
        <v>351906</v>
      </c>
      <c r="G39" s="19" t="s">
        <v>603</v>
      </c>
      <c r="H39" s="18">
        <v>4</v>
      </c>
      <c r="I39" s="18" t="s">
        <v>48</v>
      </c>
      <c r="J39" s="56"/>
    </row>
    <row r="40" spans="1:10" ht="15.75" customHeight="1" x14ac:dyDescent="0.2">
      <c r="A40" s="18" t="s">
        <v>44</v>
      </c>
      <c r="B40" s="20" t="s">
        <v>564</v>
      </c>
      <c r="C40" s="20" t="s">
        <v>597</v>
      </c>
      <c r="D40" s="21" t="s">
        <v>319</v>
      </c>
      <c r="E40" s="111" t="e" vm="92">
        <v>#VALUE!</v>
      </c>
      <c r="F40" s="23">
        <v>351931</v>
      </c>
      <c r="G40" s="19" t="s">
        <v>604</v>
      </c>
      <c r="H40" s="18">
        <v>10</v>
      </c>
      <c r="I40" s="18" t="s">
        <v>48</v>
      </c>
      <c r="J40" s="56"/>
    </row>
    <row r="41" spans="1:10" ht="15.75" customHeight="1" x14ac:dyDescent="0.2">
      <c r="A41" s="18" t="s">
        <v>44</v>
      </c>
      <c r="B41" s="20" t="s">
        <v>564</v>
      </c>
      <c r="C41" s="20" t="s">
        <v>597</v>
      </c>
      <c r="D41" s="21" t="s">
        <v>319</v>
      </c>
      <c r="E41" s="111"/>
      <c r="F41" s="23">
        <v>351932</v>
      </c>
      <c r="G41" s="19" t="s">
        <v>605</v>
      </c>
      <c r="H41" s="18">
        <v>10</v>
      </c>
      <c r="I41" s="18" t="s">
        <v>48</v>
      </c>
      <c r="J41" s="56"/>
    </row>
    <row r="42" spans="1:10" ht="15.75" customHeight="1" x14ac:dyDescent="0.2">
      <c r="A42" s="18" t="s">
        <v>44</v>
      </c>
      <c r="B42" s="20" t="s">
        <v>564</v>
      </c>
      <c r="C42" s="20" t="s">
        <v>597</v>
      </c>
      <c r="D42" s="21" t="s">
        <v>319</v>
      </c>
      <c r="E42" s="111"/>
      <c r="F42" s="23">
        <v>351933</v>
      </c>
      <c r="G42" s="19" t="s">
        <v>606</v>
      </c>
      <c r="H42" s="18">
        <v>10</v>
      </c>
      <c r="I42" s="18" t="s">
        <v>48</v>
      </c>
      <c r="J42" s="56"/>
    </row>
    <row r="43" spans="1:10" ht="15.75" customHeight="1" x14ac:dyDescent="0.2">
      <c r="A43" s="18" t="s">
        <v>44</v>
      </c>
      <c r="B43" s="20" t="s">
        <v>564</v>
      </c>
      <c r="C43" s="20" t="s">
        <v>597</v>
      </c>
      <c r="D43" s="21" t="s">
        <v>319</v>
      </c>
      <c r="E43" s="111"/>
      <c r="F43" s="23">
        <v>351934</v>
      </c>
      <c r="G43" s="19" t="s">
        <v>607</v>
      </c>
      <c r="H43" s="18">
        <v>5</v>
      </c>
      <c r="I43" s="18" t="s">
        <v>48</v>
      </c>
      <c r="J43" s="56"/>
    </row>
    <row r="44" spans="1:10" ht="15.75" customHeight="1" x14ac:dyDescent="0.2">
      <c r="A44" s="18" t="s">
        <v>44</v>
      </c>
      <c r="B44" s="20" t="s">
        <v>564</v>
      </c>
      <c r="C44" s="20" t="s">
        <v>597</v>
      </c>
      <c r="D44" s="21" t="s">
        <v>319</v>
      </c>
      <c r="E44" s="111"/>
      <c r="F44" s="23">
        <v>351935</v>
      </c>
      <c r="G44" s="19" t="s">
        <v>608</v>
      </c>
      <c r="H44" s="18">
        <v>5</v>
      </c>
      <c r="I44" s="18" t="s">
        <v>48</v>
      </c>
      <c r="J44" s="56"/>
    </row>
    <row r="45" spans="1:10" ht="15.75" customHeight="1" x14ac:dyDescent="0.2">
      <c r="A45" s="18" t="s">
        <v>44</v>
      </c>
      <c r="B45" s="20" t="s">
        <v>564</v>
      </c>
      <c r="C45" s="20" t="s">
        <v>597</v>
      </c>
      <c r="D45" s="21" t="s">
        <v>319</v>
      </c>
      <c r="E45" s="111"/>
      <c r="F45" s="23">
        <v>351936</v>
      </c>
      <c r="G45" s="19" t="s">
        <v>609</v>
      </c>
      <c r="H45" s="18">
        <v>4</v>
      </c>
      <c r="I45" s="18" t="s">
        <v>48</v>
      </c>
      <c r="J45" s="56"/>
    </row>
    <row r="46" spans="1:10" ht="15.75" customHeight="1" x14ac:dyDescent="0.2">
      <c r="A46" s="18" t="s">
        <v>44</v>
      </c>
      <c r="B46" s="20" t="s">
        <v>564</v>
      </c>
      <c r="C46" s="20" t="s">
        <v>597</v>
      </c>
      <c r="D46" s="21" t="s">
        <v>319</v>
      </c>
      <c r="E46" s="111"/>
      <c r="F46" s="23">
        <v>351937</v>
      </c>
      <c r="G46" s="19" t="s">
        <v>610</v>
      </c>
      <c r="H46" s="18">
        <v>4</v>
      </c>
      <c r="I46" s="18" t="s">
        <v>48</v>
      </c>
      <c r="J46" s="56"/>
    </row>
    <row r="47" spans="1:10" ht="15.75" customHeight="1" x14ac:dyDescent="0.2">
      <c r="A47" s="18" t="s">
        <v>44</v>
      </c>
      <c r="B47" s="20" t="s">
        <v>564</v>
      </c>
      <c r="C47" s="20" t="s">
        <v>597</v>
      </c>
      <c r="D47" s="21" t="s">
        <v>319</v>
      </c>
      <c r="E47" s="111"/>
      <c r="F47" s="23">
        <v>351938</v>
      </c>
      <c r="G47" s="19" t="s">
        <v>611</v>
      </c>
      <c r="H47" s="18">
        <v>4</v>
      </c>
      <c r="I47" s="18" t="s">
        <v>48</v>
      </c>
      <c r="J47" s="56"/>
    </row>
    <row r="48" spans="1:10" ht="15.75" customHeight="1" x14ac:dyDescent="0.2">
      <c r="A48" s="18" t="s">
        <v>44</v>
      </c>
      <c r="B48" s="20" t="s">
        <v>564</v>
      </c>
      <c r="C48" s="20" t="s">
        <v>597</v>
      </c>
      <c r="D48" s="21" t="s">
        <v>319</v>
      </c>
      <c r="E48" s="111"/>
      <c r="F48" s="23">
        <v>351939</v>
      </c>
      <c r="G48" s="19" t="s">
        <v>612</v>
      </c>
      <c r="H48" s="18">
        <v>4</v>
      </c>
      <c r="I48" s="18" t="s">
        <v>48</v>
      </c>
      <c r="J48" s="56"/>
    </row>
    <row r="49" spans="1:10" ht="15.75" customHeight="1" x14ac:dyDescent="0.2">
      <c r="A49" s="18" t="s">
        <v>44</v>
      </c>
      <c r="B49" s="20" t="s">
        <v>564</v>
      </c>
      <c r="C49" s="20" t="s">
        <v>597</v>
      </c>
      <c r="D49" s="21" t="s">
        <v>319</v>
      </c>
      <c r="E49" s="111" t="e" vm="93">
        <v>#VALUE!</v>
      </c>
      <c r="F49" s="23">
        <v>351911</v>
      </c>
      <c r="G49" s="19" t="s">
        <v>613</v>
      </c>
      <c r="H49" s="18">
        <v>10</v>
      </c>
      <c r="I49" s="18" t="s">
        <v>146</v>
      </c>
      <c r="J49" s="56"/>
    </row>
    <row r="50" spans="1:10" ht="15.75" customHeight="1" x14ac:dyDescent="0.2">
      <c r="A50" s="18" t="s">
        <v>44</v>
      </c>
      <c r="B50" s="20" t="s">
        <v>564</v>
      </c>
      <c r="C50" s="20" t="s">
        <v>597</v>
      </c>
      <c r="D50" s="21" t="s">
        <v>319</v>
      </c>
      <c r="E50" s="111"/>
      <c r="F50" s="23">
        <v>351912</v>
      </c>
      <c r="G50" s="19" t="s">
        <v>614</v>
      </c>
      <c r="H50" s="18">
        <v>10</v>
      </c>
      <c r="I50" s="18" t="s">
        <v>146</v>
      </c>
      <c r="J50" s="56"/>
    </row>
    <row r="51" spans="1:10" ht="15.75" customHeight="1" x14ac:dyDescent="0.2">
      <c r="A51" s="18" t="s">
        <v>44</v>
      </c>
      <c r="B51" s="20" t="s">
        <v>564</v>
      </c>
      <c r="C51" s="20" t="s">
        <v>597</v>
      </c>
      <c r="D51" s="21" t="s">
        <v>319</v>
      </c>
      <c r="E51" s="111"/>
      <c r="F51" s="23">
        <v>351913</v>
      </c>
      <c r="G51" s="19" t="s">
        <v>615</v>
      </c>
      <c r="H51" s="18">
        <v>5</v>
      </c>
      <c r="I51" s="18" t="s">
        <v>146</v>
      </c>
      <c r="J51" s="56"/>
    </row>
    <row r="52" spans="1:10" ht="15.75" customHeight="1" x14ac:dyDescent="0.2">
      <c r="A52" s="18" t="s">
        <v>44</v>
      </c>
      <c r="B52" s="20" t="s">
        <v>564</v>
      </c>
      <c r="C52" s="20" t="s">
        <v>597</v>
      </c>
      <c r="D52" s="21" t="s">
        <v>319</v>
      </c>
      <c r="E52" s="111"/>
      <c r="F52" s="23">
        <v>351914</v>
      </c>
      <c r="G52" s="19" t="s">
        <v>616</v>
      </c>
      <c r="H52" s="18">
        <v>1</v>
      </c>
      <c r="I52" s="18" t="s">
        <v>146</v>
      </c>
      <c r="J52" s="56"/>
    </row>
    <row r="53" spans="1:10" ht="15.75" customHeight="1" x14ac:dyDescent="0.2">
      <c r="A53" s="18" t="s">
        <v>44</v>
      </c>
      <c r="B53" s="20" t="s">
        <v>564</v>
      </c>
      <c r="C53" s="20" t="s">
        <v>597</v>
      </c>
      <c r="D53" s="21" t="s">
        <v>319</v>
      </c>
      <c r="E53" s="111"/>
      <c r="F53" s="23">
        <v>351915</v>
      </c>
      <c r="G53" s="19" t="s">
        <v>617</v>
      </c>
      <c r="H53" s="18">
        <v>1</v>
      </c>
      <c r="I53" s="18" t="s">
        <v>146</v>
      </c>
      <c r="J53" s="56"/>
    </row>
    <row r="54" spans="1:10" ht="15.75" customHeight="1" x14ac:dyDescent="0.2">
      <c r="A54" s="18" t="s">
        <v>44</v>
      </c>
      <c r="B54" s="20" t="s">
        <v>564</v>
      </c>
      <c r="C54" s="20" t="s">
        <v>597</v>
      </c>
      <c r="D54" s="21" t="s">
        <v>319</v>
      </c>
      <c r="E54" s="111"/>
      <c r="F54" s="23">
        <v>351916</v>
      </c>
      <c r="G54" s="19" t="s">
        <v>618</v>
      </c>
      <c r="H54" s="18">
        <v>1</v>
      </c>
      <c r="I54" s="18" t="s">
        <v>146</v>
      </c>
      <c r="J54" s="56"/>
    </row>
    <row r="55" spans="1:10" ht="15.75" customHeight="1" x14ac:dyDescent="0.2">
      <c r="A55" s="18" t="s">
        <v>44</v>
      </c>
      <c r="B55" s="20" t="s">
        <v>564</v>
      </c>
      <c r="C55" s="20" t="s">
        <v>597</v>
      </c>
      <c r="D55" s="21" t="s">
        <v>319</v>
      </c>
      <c r="E55" s="111" t="e" vm="94">
        <v>#VALUE!</v>
      </c>
      <c r="F55" s="23">
        <v>351921</v>
      </c>
      <c r="G55" s="19" t="s">
        <v>619</v>
      </c>
      <c r="H55" s="18">
        <v>10</v>
      </c>
      <c r="I55" s="18" t="s">
        <v>146</v>
      </c>
      <c r="J55" s="56"/>
    </row>
    <row r="56" spans="1:10" ht="15.75" customHeight="1" x14ac:dyDescent="0.2">
      <c r="A56" s="18" t="s">
        <v>44</v>
      </c>
      <c r="B56" s="20" t="s">
        <v>564</v>
      </c>
      <c r="C56" s="20" t="s">
        <v>597</v>
      </c>
      <c r="D56" s="21" t="s">
        <v>319</v>
      </c>
      <c r="E56" s="111"/>
      <c r="F56" s="23">
        <v>351922</v>
      </c>
      <c r="G56" s="19" t="s">
        <v>620</v>
      </c>
      <c r="H56" s="18">
        <v>7</v>
      </c>
      <c r="I56" s="18" t="s">
        <v>146</v>
      </c>
      <c r="J56" s="56"/>
    </row>
    <row r="57" spans="1:10" ht="15.75" customHeight="1" x14ac:dyDescent="0.2">
      <c r="A57" s="18" t="s">
        <v>44</v>
      </c>
      <c r="B57" s="20" t="s">
        <v>564</v>
      </c>
      <c r="C57" s="20" t="s">
        <v>597</v>
      </c>
      <c r="D57" s="21" t="s">
        <v>319</v>
      </c>
      <c r="E57" s="111"/>
      <c r="F57" s="23">
        <v>351923</v>
      </c>
      <c r="G57" s="19" t="s">
        <v>621</v>
      </c>
      <c r="H57" s="18">
        <v>5</v>
      </c>
      <c r="I57" s="18" t="s">
        <v>146</v>
      </c>
      <c r="J57" s="56"/>
    </row>
    <row r="58" spans="1:10" ht="15.75" customHeight="1" x14ac:dyDescent="0.2">
      <c r="A58" s="18" t="s">
        <v>44</v>
      </c>
      <c r="B58" s="20" t="s">
        <v>564</v>
      </c>
      <c r="C58" s="20" t="s">
        <v>597</v>
      </c>
      <c r="D58" s="21" t="s">
        <v>319</v>
      </c>
      <c r="E58" s="111"/>
      <c r="F58" s="23">
        <v>351924</v>
      </c>
      <c r="G58" s="19" t="s">
        <v>622</v>
      </c>
      <c r="H58" s="18">
        <v>1</v>
      </c>
      <c r="I58" s="18" t="s">
        <v>146</v>
      </c>
      <c r="J58" s="56"/>
    </row>
    <row r="59" spans="1:10" ht="15.75" customHeight="1" x14ac:dyDescent="0.2">
      <c r="A59" s="18" t="s">
        <v>44</v>
      </c>
      <c r="B59" s="20" t="s">
        <v>564</v>
      </c>
      <c r="C59" s="20" t="s">
        <v>597</v>
      </c>
      <c r="D59" s="21" t="s">
        <v>319</v>
      </c>
      <c r="E59" s="111"/>
      <c r="F59" s="23">
        <v>351925</v>
      </c>
      <c r="G59" s="19" t="s">
        <v>623</v>
      </c>
      <c r="H59" s="18">
        <v>1</v>
      </c>
      <c r="I59" s="18" t="s">
        <v>146</v>
      </c>
      <c r="J59" s="56"/>
    </row>
    <row r="60" spans="1:10" ht="15.75" customHeight="1" x14ac:dyDescent="0.2">
      <c r="A60" s="18" t="s">
        <v>44</v>
      </c>
      <c r="B60" s="20" t="s">
        <v>564</v>
      </c>
      <c r="C60" s="20" t="s">
        <v>597</v>
      </c>
      <c r="D60" s="21" t="s">
        <v>319</v>
      </c>
      <c r="E60" s="111"/>
      <c r="F60" s="23">
        <v>351926</v>
      </c>
      <c r="G60" s="19" t="s">
        <v>624</v>
      </c>
      <c r="H60" s="18">
        <v>1</v>
      </c>
      <c r="I60" s="18" t="s">
        <v>146</v>
      </c>
      <c r="J60" s="56"/>
    </row>
    <row r="61" spans="1:10" ht="15.75" customHeight="1" x14ac:dyDescent="0.2">
      <c r="A61" s="18" t="s">
        <v>44</v>
      </c>
      <c r="B61" s="20" t="s">
        <v>564</v>
      </c>
      <c r="C61" s="20" t="s">
        <v>625</v>
      </c>
      <c r="D61" s="21" t="s">
        <v>77</v>
      </c>
      <c r="E61" s="103" t="e" vm="95">
        <v>#VALUE!</v>
      </c>
      <c r="F61" s="18">
        <v>350902</v>
      </c>
      <c r="G61" s="19" t="s">
        <v>626</v>
      </c>
      <c r="H61" s="18">
        <v>12</v>
      </c>
      <c r="I61" s="18" t="s">
        <v>48</v>
      </c>
      <c r="J61" s="56"/>
    </row>
    <row r="62" spans="1:10" ht="15.75" customHeight="1" x14ac:dyDescent="0.2">
      <c r="A62" s="18" t="s">
        <v>44</v>
      </c>
      <c r="B62" s="20" t="s">
        <v>564</v>
      </c>
      <c r="C62" s="20" t="s">
        <v>625</v>
      </c>
      <c r="D62" s="21" t="s">
        <v>77</v>
      </c>
      <c r="E62" s="104"/>
      <c r="F62" s="18">
        <v>350903</v>
      </c>
      <c r="G62" s="19" t="s">
        <v>627</v>
      </c>
      <c r="H62" s="18">
        <v>9</v>
      </c>
      <c r="I62" s="18" t="s">
        <v>48</v>
      </c>
      <c r="J62" s="56"/>
    </row>
    <row r="63" spans="1:10" ht="15.75" customHeight="1" x14ac:dyDescent="0.2">
      <c r="A63" s="18" t="s">
        <v>44</v>
      </c>
      <c r="B63" s="20" t="s">
        <v>564</v>
      </c>
      <c r="C63" s="20" t="s">
        <v>625</v>
      </c>
      <c r="D63" s="21" t="s">
        <v>77</v>
      </c>
      <c r="E63" s="104"/>
      <c r="F63" s="18">
        <v>350904</v>
      </c>
      <c r="G63" s="19" t="s">
        <v>628</v>
      </c>
      <c r="H63" s="18">
        <v>9</v>
      </c>
      <c r="I63" s="18" t="s">
        <v>48</v>
      </c>
      <c r="J63" s="56"/>
    </row>
    <row r="64" spans="1:10" ht="15.75" customHeight="1" x14ac:dyDescent="0.2">
      <c r="A64" s="18" t="s">
        <v>44</v>
      </c>
      <c r="B64" s="20" t="s">
        <v>564</v>
      </c>
      <c r="C64" s="20" t="s">
        <v>625</v>
      </c>
      <c r="D64" s="21" t="s">
        <v>77</v>
      </c>
      <c r="E64" s="104"/>
      <c r="F64" s="18">
        <v>350905</v>
      </c>
      <c r="G64" s="19" t="s">
        <v>629</v>
      </c>
      <c r="H64" s="18">
        <v>1</v>
      </c>
      <c r="I64" s="18" t="s">
        <v>48</v>
      </c>
      <c r="J64" s="56"/>
    </row>
    <row r="65" spans="1:10" ht="15.75" customHeight="1" x14ac:dyDescent="0.2">
      <c r="A65" s="18" t="s">
        <v>44</v>
      </c>
      <c r="B65" s="20" t="s">
        <v>564</v>
      </c>
      <c r="C65" s="20" t="s">
        <v>625</v>
      </c>
      <c r="D65" s="21" t="s">
        <v>77</v>
      </c>
      <c r="E65" s="104"/>
      <c r="F65" s="18">
        <v>350906</v>
      </c>
      <c r="G65" s="19" t="s">
        <v>630</v>
      </c>
      <c r="H65" s="18">
        <v>1</v>
      </c>
      <c r="I65" s="18" t="s">
        <v>48</v>
      </c>
      <c r="J65" s="56"/>
    </row>
    <row r="66" spans="1:10" ht="15.75" customHeight="1" x14ac:dyDescent="0.2">
      <c r="A66" s="18" t="s">
        <v>44</v>
      </c>
      <c r="B66" s="20" t="s">
        <v>564</v>
      </c>
      <c r="C66" s="20" t="s">
        <v>625</v>
      </c>
      <c r="D66" s="21" t="s">
        <v>77</v>
      </c>
      <c r="E66" s="105"/>
      <c r="F66" s="18">
        <v>350907</v>
      </c>
      <c r="G66" s="19" t="s">
        <v>631</v>
      </c>
      <c r="H66" s="18">
        <v>1</v>
      </c>
      <c r="I66" s="18" t="s">
        <v>146</v>
      </c>
      <c r="J66" s="56"/>
    </row>
    <row r="67" spans="1:10" ht="15.75" customHeight="1" x14ac:dyDescent="0.2">
      <c r="A67" s="18" t="s">
        <v>44</v>
      </c>
      <c r="B67" s="20" t="s">
        <v>564</v>
      </c>
      <c r="C67" s="20" t="s">
        <v>625</v>
      </c>
      <c r="D67" s="21" t="s">
        <v>77</v>
      </c>
      <c r="E67" s="103" t="e" vm="96">
        <v>#VALUE!</v>
      </c>
      <c r="F67" s="18">
        <v>351002</v>
      </c>
      <c r="G67" s="19" t="s">
        <v>632</v>
      </c>
      <c r="H67" s="18">
        <v>7</v>
      </c>
      <c r="I67" s="18" t="s">
        <v>48</v>
      </c>
      <c r="J67" s="56"/>
    </row>
    <row r="68" spans="1:10" ht="15.75" customHeight="1" x14ac:dyDescent="0.2">
      <c r="A68" s="18" t="s">
        <v>44</v>
      </c>
      <c r="B68" s="20" t="s">
        <v>564</v>
      </c>
      <c r="C68" s="20" t="s">
        <v>625</v>
      </c>
      <c r="D68" s="21" t="s">
        <v>77</v>
      </c>
      <c r="E68" s="104"/>
      <c r="F68" s="18">
        <v>351003</v>
      </c>
      <c r="G68" s="19" t="s">
        <v>633</v>
      </c>
      <c r="H68" s="18">
        <v>7</v>
      </c>
      <c r="I68" s="18" t="s">
        <v>48</v>
      </c>
      <c r="J68" s="56"/>
    </row>
    <row r="69" spans="1:10" ht="15.75" customHeight="1" x14ac:dyDescent="0.2">
      <c r="A69" s="18" t="s">
        <v>44</v>
      </c>
      <c r="B69" s="20" t="s">
        <v>564</v>
      </c>
      <c r="C69" s="20" t="s">
        <v>625</v>
      </c>
      <c r="D69" s="21" t="s">
        <v>77</v>
      </c>
      <c r="E69" s="105"/>
      <c r="F69" s="18">
        <v>351004</v>
      </c>
      <c r="G69" s="19" t="s">
        <v>634</v>
      </c>
      <c r="H69" s="18">
        <v>6</v>
      </c>
      <c r="I69" s="18" t="s">
        <v>48</v>
      </c>
      <c r="J69" s="56"/>
    </row>
    <row r="70" spans="1:10" ht="13.5" customHeight="1" x14ac:dyDescent="0.2">
      <c r="A70" s="18" t="s">
        <v>44</v>
      </c>
      <c r="B70" s="19" t="s">
        <v>564</v>
      </c>
      <c r="C70" s="20" t="s">
        <v>625</v>
      </c>
      <c r="D70" s="21" t="s">
        <v>77</v>
      </c>
      <c r="E70" s="103" t="e" vm="97">
        <v>#VALUE!</v>
      </c>
      <c r="F70" s="18">
        <v>352001</v>
      </c>
      <c r="G70" s="19" t="s">
        <v>635</v>
      </c>
      <c r="H70" s="18">
        <v>100</v>
      </c>
      <c r="I70" s="18" t="s">
        <v>48</v>
      </c>
      <c r="J70" s="56"/>
    </row>
    <row r="71" spans="1:10" ht="13.5" customHeight="1" x14ac:dyDescent="0.2">
      <c r="A71" s="18" t="s">
        <v>44</v>
      </c>
      <c r="B71" s="19" t="s">
        <v>564</v>
      </c>
      <c r="C71" s="20" t="s">
        <v>625</v>
      </c>
      <c r="D71" s="21" t="s">
        <v>77</v>
      </c>
      <c r="E71" s="104"/>
      <c r="F71" s="18">
        <v>352002</v>
      </c>
      <c r="G71" s="19" t="s">
        <v>636</v>
      </c>
      <c r="H71" s="18">
        <v>100</v>
      </c>
      <c r="I71" s="18" t="s">
        <v>48</v>
      </c>
      <c r="J71" s="56"/>
    </row>
    <row r="72" spans="1:10" ht="13.5" customHeight="1" x14ac:dyDescent="0.2">
      <c r="A72" s="18" t="s">
        <v>44</v>
      </c>
      <c r="B72" s="19" t="s">
        <v>564</v>
      </c>
      <c r="C72" s="20" t="s">
        <v>625</v>
      </c>
      <c r="D72" s="21" t="s">
        <v>77</v>
      </c>
      <c r="E72" s="104"/>
      <c r="F72" s="18">
        <v>352003</v>
      </c>
      <c r="G72" s="19" t="s">
        <v>637</v>
      </c>
      <c r="H72" s="18">
        <v>80</v>
      </c>
      <c r="I72" s="18" t="s">
        <v>48</v>
      </c>
      <c r="J72" s="56"/>
    </row>
    <row r="73" spans="1:10" ht="13.5" customHeight="1" x14ac:dyDescent="0.2">
      <c r="A73" s="18" t="s">
        <v>44</v>
      </c>
      <c r="B73" s="19" t="s">
        <v>564</v>
      </c>
      <c r="C73" s="20" t="s">
        <v>625</v>
      </c>
      <c r="D73" s="21" t="s">
        <v>77</v>
      </c>
      <c r="E73" s="104"/>
      <c r="F73" s="18">
        <v>352004</v>
      </c>
      <c r="G73" s="19" t="s">
        <v>638</v>
      </c>
      <c r="H73" s="18">
        <v>60</v>
      </c>
      <c r="I73" s="18" t="s">
        <v>48</v>
      </c>
      <c r="J73" s="56"/>
    </row>
    <row r="74" spans="1:10" ht="13.5" customHeight="1" x14ac:dyDescent="0.2">
      <c r="A74" s="18" t="s">
        <v>44</v>
      </c>
      <c r="B74" s="19" t="s">
        <v>564</v>
      </c>
      <c r="C74" s="20" t="s">
        <v>625</v>
      </c>
      <c r="D74" s="21" t="s">
        <v>77</v>
      </c>
      <c r="E74" s="105"/>
      <c r="F74" s="18">
        <v>352005</v>
      </c>
      <c r="G74" s="19" t="s">
        <v>639</v>
      </c>
      <c r="H74" s="18">
        <v>30</v>
      </c>
      <c r="I74" s="18" t="s">
        <v>48</v>
      </c>
      <c r="J74" s="56"/>
    </row>
    <row r="75" spans="1:10" ht="15.75" customHeight="1" x14ac:dyDescent="0.2">
      <c r="A75" s="18" t="s">
        <v>44</v>
      </c>
      <c r="B75" s="19" t="s">
        <v>564</v>
      </c>
      <c r="C75" s="20" t="s">
        <v>625</v>
      </c>
      <c r="D75" s="21" t="s">
        <v>77</v>
      </c>
      <c r="E75" s="103" t="e" vm="98">
        <v>#VALUE!</v>
      </c>
      <c r="F75" s="18">
        <v>350602</v>
      </c>
      <c r="G75" s="19" t="s">
        <v>640</v>
      </c>
      <c r="H75" s="18">
        <v>50</v>
      </c>
      <c r="I75" s="18" t="s">
        <v>48</v>
      </c>
      <c r="J75" s="56"/>
    </row>
    <row r="76" spans="1:10" ht="15.75" customHeight="1" x14ac:dyDescent="0.2">
      <c r="A76" s="18" t="s">
        <v>44</v>
      </c>
      <c r="B76" s="19" t="s">
        <v>564</v>
      </c>
      <c r="C76" s="20" t="s">
        <v>625</v>
      </c>
      <c r="D76" s="21" t="s">
        <v>77</v>
      </c>
      <c r="E76" s="104"/>
      <c r="F76" s="18">
        <v>350603</v>
      </c>
      <c r="G76" s="19" t="s">
        <v>641</v>
      </c>
      <c r="H76" s="18">
        <v>40</v>
      </c>
      <c r="I76" s="18" t="s">
        <v>48</v>
      </c>
      <c r="J76" s="56"/>
    </row>
    <row r="77" spans="1:10" ht="15.75" customHeight="1" x14ac:dyDescent="0.2">
      <c r="A77" s="18" t="s">
        <v>44</v>
      </c>
      <c r="B77" s="19" t="s">
        <v>564</v>
      </c>
      <c r="C77" s="20" t="s">
        <v>625</v>
      </c>
      <c r="D77" s="21" t="s">
        <v>77</v>
      </c>
      <c r="E77" s="104"/>
      <c r="F77" s="18">
        <v>350604</v>
      </c>
      <c r="G77" s="19" t="s">
        <v>642</v>
      </c>
      <c r="H77" s="18">
        <v>28</v>
      </c>
      <c r="I77" s="18" t="s">
        <v>48</v>
      </c>
      <c r="J77" s="56"/>
    </row>
    <row r="78" spans="1:10" ht="15.75" customHeight="1" x14ac:dyDescent="0.2">
      <c r="A78" s="18" t="s">
        <v>44</v>
      </c>
      <c r="B78" s="19" t="s">
        <v>564</v>
      </c>
      <c r="C78" s="20" t="s">
        <v>625</v>
      </c>
      <c r="D78" s="21" t="s">
        <v>77</v>
      </c>
      <c r="E78" s="104"/>
      <c r="F78" s="18">
        <v>350605</v>
      </c>
      <c r="G78" s="19" t="s">
        <v>643</v>
      </c>
      <c r="H78" s="18">
        <v>20</v>
      </c>
      <c r="I78" s="18" t="s">
        <v>48</v>
      </c>
      <c r="J78" s="56"/>
    </row>
    <row r="79" spans="1:10" ht="15.75" customHeight="1" x14ac:dyDescent="0.2">
      <c r="A79" s="18" t="s">
        <v>44</v>
      </c>
      <c r="B79" s="19" t="s">
        <v>564</v>
      </c>
      <c r="C79" s="20" t="s">
        <v>625</v>
      </c>
      <c r="D79" s="21" t="s">
        <v>77</v>
      </c>
      <c r="E79" s="104"/>
      <c r="F79" s="18">
        <v>350606</v>
      </c>
      <c r="G79" s="19" t="s">
        <v>644</v>
      </c>
      <c r="H79" s="18">
        <v>16</v>
      </c>
      <c r="I79" s="18" t="s">
        <v>48</v>
      </c>
      <c r="J79" s="56"/>
    </row>
    <row r="80" spans="1:10" ht="15.75" customHeight="1" x14ac:dyDescent="0.2">
      <c r="A80" s="18" t="s">
        <v>44</v>
      </c>
      <c r="B80" s="19" t="s">
        <v>564</v>
      </c>
      <c r="C80" s="20" t="s">
        <v>625</v>
      </c>
      <c r="D80" s="21" t="s">
        <v>77</v>
      </c>
      <c r="E80" s="104"/>
      <c r="F80" s="18">
        <v>350607</v>
      </c>
      <c r="G80" s="19" t="s">
        <v>645</v>
      </c>
      <c r="H80" s="18">
        <v>10</v>
      </c>
      <c r="I80" s="18" t="s">
        <v>48</v>
      </c>
      <c r="J80" s="56"/>
    </row>
    <row r="81" spans="1:10" ht="15.75" customHeight="1" x14ac:dyDescent="0.2">
      <c r="A81" s="18" t="s">
        <v>44</v>
      </c>
      <c r="B81" s="19" t="s">
        <v>564</v>
      </c>
      <c r="C81" s="20" t="s">
        <v>625</v>
      </c>
      <c r="D81" s="21" t="s">
        <v>77</v>
      </c>
      <c r="E81" s="104"/>
      <c r="F81" s="18">
        <v>350608</v>
      </c>
      <c r="G81" s="19" t="s">
        <v>646</v>
      </c>
      <c r="H81" s="18">
        <v>1</v>
      </c>
      <c r="I81" s="18" t="s">
        <v>146</v>
      </c>
      <c r="J81" s="56"/>
    </row>
    <row r="82" spans="1:10" ht="15.75" customHeight="1" x14ac:dyDescent="0.2">
      <c r="A82" s="18" t="s">
        <v>44</v>
      </c>
      <c r="B82" s="19" t="s">
        <v>564</v>
      </c>
      <c r="C82" s="20" t="s">
        <v>625</v>
      </c>
      <c r="D82" s="21" t="s">
        <v>77</v>
      </c>
      <c r="E82" s="104"/>
      <c r="F82" s="18">
        <v>350609</v>
      </c>
      <c r="G82" s="19" t="s">
        <v>647</v>
      </c>
      <c r="H82" s="18">
        <v>1</v>
      </c>
      <c r="I82" s="18" t="s">
        <v>146</v>
      </c>
      <c r="J82" s="56"/>
    </row>
    <row r="83" spans="1:10" ht="15.75" customHeight="1" x14ac:dyDescent="0.2">
      <c r="A83" s="18" t="s">
        <v>44</v>
      </c>
      <c r="B83" s="19" t="s">
        <v>564</v>
      </c>
      <c r="C83" s="20" t="s">
        <v>625</v>
      </c>
      <c r="D83" s="21" t="s">
        <v>77</v>
      </c>
      <c r="E83" s="104"/>
      <c r="F83" s="18">
        <v>350610</v>
      </c>
      <c r="G83" s="19" t="s">
        <v>648</v>
      </c>
      <c r="H83" s="18">
        <v>1</v>
      </c>
      <c r="I83" s="18" t="s">
        <v>146</v>
      </c>
      <c r="J83" s="56"/>
    </row>
    <row r="84" spans="1:10" ht="15.75" customHeight="1" x14ac:dyDescent="0.2">
      <c r="A84" s="18" t="s">
        <v>44</v>
      </c>
      <c r="B84" s="19" t="s">
        <v>564</v>
      </c>
      <c r="C84" s="20" t="s">
        <v>625</v>
      </c>
      <c r="D84" s="21" t="s">
        <v>77</v>
      </c>
      <c r="E84" s="104"/>
      <c r="F84" s="18">
        <v>350611</v>
      </c>
      <c r="G84" s="19" t="s">
        <v>649</v>
      </c>
      <c r="H84" s="18">
        <v>1</v>
      </c>
      <c r="I84" s="18" t="s">
        <v>146</v>
      </c>
      <c r="J84" s="56"/>
    </row>
    <row r="85" spans="1:10" ht="15.75" customHeight="1" x14ac:dyDescent="0.2">
      <c r="A85" s="18" t="s">
        <v>44</v>
      </c>
      <c r="B85" s="19" t="s">
        <v>564</v>
      </c>
      <c r="C85" s="20" t="s">
        <v>625</v>
      </c>
      <c r="D85" s="21" t="s">
        <v>77</v>
      </c>
      <c r="E85" s="105"/>
      <c r="F85" s="18">
        <v>350612</v>
      </c>
      <c r="G85" s="19" t="s">
        <v>650</v>
      </c>
      <c r="H85" s="18">
        <v>1</v>
      </c>
      <c r="I85" s="18" t="s">
        <v>146</v>
      </c>
      <c r="J85" s="56"/>
    </row>
    <row r="86" spans="1:10" ht="15.75" customHeight="1" x14ac:dyDescent="0.2">
      <c r="A86" s="18" t="s">
        <v>44</v>
      </c>
      <c r="B86" s="19" t="s">
        <v>564</v>
      </c>
      <c r="C86" s="20" t="s">
        <v>625</v>
      </c>
      <c r="D86" s="21" t="s">
        <v>77</v>
      </c>
      <c r="E86" s="103" t="e" vm="99">
        <v>#VALUE!</v>
      </c>
      <c r="F86" s="18">
        <v>350502</v>
      </c>
      <c r="G86" s="19" t="s">
        <v>651</v>
      </c>
      <c r="H86" s="18">
        <v>40</v>
      </c>
      <c r="I86" s="18" t="s">
        <v>48</v>
      </c>
      <c r="J86" s="56"/>
    </row>
    <row r="87" spans="1:10" ht="15.75" customHeight="1" x14ac:dyDescent="0.2">
      <c r="A87" s="18" t="s">
        <v>44</v>
      </c>
      <c r="B87" s="19" t="s">
        <v>564</v>
      </c>
      <c r="C87" s="20" t="s">
        <v>625</v>
      </c>
      <c r="D87" s="21" t="s">
        <v>77</v>
      </c>
      <c r="E87" s="104"/>
      <c r="F87" s="18">
        <v>350503</v>
      </c>
      <c r="G87" s="19" t="s">
        <v>652</v>
      </c>
      <c r="H87" s="18">
        <v>30</v>
      </c>
      <c r="I87" s="18" t="s">
        <v>48</v>
      </c>
      <c r="J87" s="56"/>
    </row>
    <row r="88" spans="1:10" ht="15.75" customHeight="1" x14ac:dyDescent="0.2">
      <c r="A88" s="18" t="s">
        <v>44</v>
      </c>
      <c r="B88" s="19" t="s">
        <v>564</v>
      </c>
      <c r="C88" s="20" t="s">
        <v>625</v>
      </c>
      <c r="D88" s="21" t="s">
        <v>77</v>
      </c>
      <c r="E88" s="104"/>
      <c r="F88" s="18">
        <v>350504</v>
      </c>
      <c r="G88" s="19" t="s">
        <v>653</v>
      </c>
      <c r="H88" s="18">
        <v>30</v>
      </c>
      <c r="I88" s="18" t="s">
        <v>48</v>
      </c>
      <c r="J88" s="56"/>
    </row>
    <row r="89" spans="1:10" ht="15.75" customHeight="1" x14ac:dyDescent="0.2">
      <c r="A89" s="18" t="s">
        <v>44</v>
      </c>
      <c r="B89" s="19" t="s">
        <v>564</v>
      </c>
      <c r="C89" s="20" t="s">
        <v>625</v>
      </c>
      <c r="D89" s="21" t="s">
        <v>77</v>
      </c>
      <c r="E89" s="104"/>
      <c r="F89" s="18">
        <v>350505</v>
      </c>
      <c r="G89" s="19" t="s">
        <v>654</v>
      </c>
      <c r="H89" s="18">
        <v>25</v>
      </c>
      <c r="I89" s="18" t="s">
        <v>48</v>
      </c>
      <c r="J89" s="56"/>
    </row>
    <row r="90" spans="1:10" ht="15.75" customHeight="1" x14ac:dyDescent="0.2">
      <c r="A90" s="18" t="s">
        <v>44</v>
      </c>
      <c r="B90" s="19" t="s">
        <v>564</v>
      </c>
      <c r="C90" s="20" t="s">
        <v>625</v>
      </c>
      <c r="D90" s="21" t="s">
        <v>77</v>
      </c>
      <c r="E90" s="104"/>
      <c r="F90" s="18">
        <v>350506</v>
      </c>
      <c r="G90" s="19" t="s">
        <v>655</v>
      </c>
      <c r="H90" s="18">
        <v>10</v>
      </c>
      <c r="I90" s="18" t="s">
        <v>48</v>
      </c>
      <c r="J90" s="56"/>
    </row>
    <row r="91" spans="1:10" ht="15.75" customHeight="1" x14ac:dyDescent="0.2">
      <c r="A91" s="18" t="s">
        <v>44</v>
      </c>
      <c r="B91" s="19" t="s">
        <v>564</v>
      </c>
      <c r="C91" s="20" t="s">
        <v>625</v>
      </c>
      <c r="D91" s="21" t="s">
        <v>77</v>
      </c>
      <c r="E91" s="104"/>
      <c r="F91" s="18">
        <v>350507</v>
      </c>
      <c r="G91" s="19" t="s">
        <v>656</v>
      </c>
      <c r="H91" s="18">
        <v>9</v>
      </c>
      <c r="I91" s="18" t="s">
        <v>48</v>
      </c>
      <c r="J91" s="56"/>
    </row>
    <row r="92" spans="1:10" ht="15.75" customHeight="1" x14ac:dyDescent="0.2">
      <c r="A92" s="18" t="s">
        <v>44</v>
      </c>
      <c r="B92" s="19" t="s">
        <v>564</v>
      </c>
      <c r="C92" s="20" t="s">
        <v>625</v>
      </c>
      <c r="D92" s="21" t="s">
        <v>77</v>
      </c>
      <c r="E92" s="104"/>
      <c r="F92" s="18">
        <v>350511</v>
      </c>
      <c r="G92" s="19" t="s">
        <v>657</v>
      </c>
      <c r="H92" s="18">
        <v>1</v>
      </c>
      <c r="I92" s="18" t="s">
        <v>146</v>
      </c>
      <c r="J92" s="56"/>
    </row>
    <row r="93" spans="1:10" ht="15.75" customHeight="1" x14ac:dyDescent="0.2">
      <c r="A93" s="18" t="s">
        <v>44</v>
      </c>
      <c r="B93" s="19" t="s">
        <v>564</v>
      </c>
      <c r="C93" s="20" t="s">
        <v>625</v>
      </c>
      <c r="D93" s="21" t="s">
        <v>77</v>
      </c>
      <c r="E93" s="104"/>
      <c r="F93" s="18">
        <v>350512</v>
      </c>
      <c r="G93" s="19" t="s">
        <v>658</v>
      </c>
      <c r="H93" s="18">
        <v>1</v>
      </c>
      <c r="I93" s="18" t="s">
        <v>146</v>
      </c>
      <c r="J93" s="56"/>
    </row>
    <row r="94" spans="1:10" ht="15.75" customHeight="1" x14ac:dyDescent="0.2">
      <c r="A94" s="18" t="s">
        <v>44</v>
      </c>
      <c r="B94" s="19" t="s">
        <v>564</v>
      </c>
      <c r="C94" s="20" t="s">
        <v>625</v>
      </c>
      <c r="D94" s="21" t="s">
        <v>77</v>
      </c>
      <c r="E94" s="104"/>
      <c r="F94" s="18">
        <v>350508</v>
      </c>
      <c r="G94" s="19" t="s">
        <v>659</v>
      </c>
      <c r="H94" s="18">
        <v>1</v>
      </c>
      <c r="I94" s="18" t="s">
        <v>146</v>
      </c>
      <c r="J94" s="56"/>
    </row>
    <row r="95" spans="1:10" ht="15.75" customHeight="1" x14ac:dyDescent="0.2">
      <c r="A95" s="18" t="s">
        <v>44</v>
      </c>
      <c r="B95" s="19" t="s">
        <v>564</v>
      </c>
      <c r="C95" s="20" t="s">
        <v>625</v>
      </c>
      <c r="D95" s="21" t="s">
        <v>77</v>
      </c>
      <c r="E95" s="104"/>
      <c r="F95" s="18">
        <v>350509</v>
      </c>
      <c r="G95" s="19" t="s">
        <v>660</v>
      </c>
      <c r="H95" s="18">
        <v>1</v>
      </c>
      <c r="I95" s="18" t="s">
        <v>146</v>
      </c>
      <c r="J95" s="56"/>
    </row>
    <row r="96" spans="1:10" ht="15.75" customHeight="1" x14ac:dyDescent="0.2">
      <c r="A96" s="18" t="s">
        <v>44</v>
      </c>
      <c r="B96" s="19" t="s">
        <v>564</v>
      </c>
      <c r="C96" s="20" t="s">
        <v>625</v>
      </c>
      <c r="D96" s="21" t="s">
        <v>77</v>
      </c>
      <c r="E96" s="105"/>
      <c r="F96" s="18">
        <v>350510</v>
      </c>
      <c r="G96" s="19" t="s">
        <v>661</v>
      </c>
      <c r="H96" s="18">
        <v>1</v>
      </c>
      <c r="I96" s="18" t="s">
        <v>146</v>
      </c>
      <c r="J96" s="56"/>
    </row>
    <row r="97" spans="1:10" ht="20.25" customHeight="1" x14ac:dyDescent="0.2">
      <c r="A97" s="18" t="s">
        <v>44</v>
      </c>
      <c r="B97" s="19" t="s">
        <v>564</v>
      </c>
      <c r="C97" s="20" t="s">
        <v>625</v>
      </c>
      <c r="D97" s="21" t="s">
        <v>77</v>
      </c>
      <c r="E97" s="103" t="e" vm="100">
        <v>#VALUE!</v>
      </c>
      <c r="F97" s="18">
        <v>350702</v>
      </c>
      <c r="G97" s="19" t="s">
        <v>662</v>
      </c>
      <c r="H97" s="18">
        <v>50</v>
      </c>
      <c r="I97" s="18" t="s">
        <v>48</v>
      </c>
      <c r="J97" s="56"/>
    </row>
    <row r="98" spans="1:10" ht="20.25" customHeight="1" x14ac:dyDescent="0.2">
      <c r="A98" s="18" t="s">
        <v>44</v>
      </c>
      <c r="B98" s="19" t="s">
        <v>564</v>
      </c>
      <c r="C98" s="20" t="s">
        <v>625</v>
      </c>
      <c r="D98" s="21" t="s">
        <v>77</v>
      </c>
      <c r="E98" s="104"/>
      <c r="F98" s="18">
        <v>350703</v>
      </c>
      <c r="G98" s="19" t="s">
        <v>663</v>
      </c>
      <c r="H98" s="18">
        <v>20</v>
      </c>
      <c r="I98" s="18" t="s">
        <v>48</v>
      </c>
      <c r="J98" s="56"/>
    </row>
    <row r="99" spans="1:10" ht="20.25" customHeight="1" x14ac:dyDescent="0.2">
      <c r="A99" s="18" t="s">
        <v>44</v>
      </c>
      <c r="B99" s="19" t="s">
        <v>564</v>
      </c>
      <c r="C99" s="20" t="s">
        <v>625</v>
      </c>
      <c r="D99" s="21" t="s">
        <v>77</v>
      </c>
      <c r="E99" s="105"/>
      <c r="F99" s="18">
        <v>350704</v>
      </c>
      <c r="G99" s="19" t="s">
        <v>664</v>
      </c>
      <c r="H99" s="18">
        <v>10</v>
      </c>
      <c r="I99" s="18" t="s">
        <v>48</v>
      </c>
      <c r="J99" s="56"/>
    </row>
    <row r="100" spans="1:10" ht="22.5" customHeight="1" x14ac:dyDescent="0.2">
      <c r="A100" s="18" t="s">
        <v>44</v>
      </c>
      <c r="B100" s="19" t="s">
        <v>564</v>
      </c>
      <c r="C100" s="20" t="s">
        <v>625</v>
      </c>
      <c r="D100" s="21" t="s">
        <v>77</v>
      </c>
      <c r="E100" s="103" t="e" vm="101">
        <v>#VALUE!</v>
      </c>
      <c r="F100" s="18">
        <v>351701</v>
      </c>
      <c r="G100" s="19" t="s">
        <v>665</v>
      </c>
      <c r="H100" s="18">
        <v>40</v>
      </c>
      <c r="I100" s="18" t="s">
        <v>48</v>
      </c>
      <c r="J100" s="56"/>
    </row>
    <row r="101" spans="1:10" ht="22.5" customHeight="1" x14ac:dyDescent="0.2">
      <c r="A101" s="18" t="s">
        <v>44</v>
      </c>
      <c r="B101" s="19" t="s">
        <v>564</v>
      </c>
      <c r="C101" s="20" t="s">
        <v>625</v>
      </c>
      <c r="D101" s="21" t="s">
        <v>77</v>
      </c>
      <c r="E101" s="104"/>
      <c r="F101" s="18">
        <v>351702</v>
      </c>
      <c r="G101" s="19" t="s">
        <v>666</v>
      </c>
      <c r="H101" s="18">
        <v>20</v>
      </c>
      <c r="I101" s="18" t="s">
        <v>48</v>
      </c>
      <c r="J101" s="56"/>
    </row>
    <row r="102" spans="1:10" ht="22.5" customHeight="1" x14ac:dyDescent="0.2">
      <c r="A102" s="18" t="s">
        <v>44</v>
      </c>
      <c r="B102" s="19" t="s">
        <v>564</v>
      </c>
      <c r="C102" s="20" t="s">
        <v>625</v>
      </c>
      <c r="D102" s="21" t="s">
        <v>77</v>
      </c>
      <c r="E102" s="105"/>
      <c r="F102" s="18">
        <v>351703</v>
      </c>
      <c r="G102" s="19" t="s">
        <v>667</v>
      </c>
      <c r="H102" s="18">
        <v>12</v>
      </c>
      <c r="I102" s="18" t="s">
        <v>48</v>
      </c>
      <c r="J102" s="56"/>
    </row>
    <row r="103" spans="1:10" ht="15.75" customHeight="1" x14ac:dyDescent="0.2">
      <c r="A103" s="18" t="s">
        <v>44</v>
      </c>
      <c r="B103" s="19" t="s">
        <v>564</v>
      </c>
      <c r="C103" s="20" t="s">
        <v>625</v>
      </c>
      <c r="D103" s="21" t="s">
        <v>77</v>
      </c>
      <c r="E103" s="103" t="e" vm="102">
        <v>#VALUE!</v>
      </c>
      <c r="F103" s="18">
        <v>350302</v>
      </c>
      <c r="G103" s="19" t="s">
        <v>668</v>
      </c>
      <c r="H103" s="18">
        <v>50</v>
      </c>
      <c r="I103" s="18" t="s">
        <v>48</v>
      </c>
      <c r="J103" s="56"/>
    </row>
    <row r="104" spans="1:10" ht="15.75" customHeight="1" x14ac:dyDescent="0.2">
      <c r="A104" s="18" t="s">
        <v>44</v>
      </c>
      <c r="B104" s="19" t="s">
        <v>564</v>
      </c>
      <c r="C104" s="20" t="s">
        <v>625</v>
      </c>
      <c r="D104" s="21" t="s">
        <v>77</v>
      </c>
      <c r="E104" s="104"/>
      <c r="F104" s="18">
        <v>350303</v>
      </c>
      <c r="G104" s="19" t="s">
        <v>669</v>
      </c>
      <c r="H104" s="18">
        <v>30</v>
      </c>
      <c r="I104" s="18" t="s">
        <v>48</v>
      </c>
      <c r="J104" s="56"/>
    </row>
    <row r="105" spans="1:10" ht="15.75" customHeight="1" x14ac:dyDescent="0.2">
      <c r="A105" s="18" t="s">
        <v>44</v>
      </c>
      <c r="B105" s="19" t="s">
        <v>564</v>
      </c>
      <c r="C105" s="20" t="s">
        <v>625</v>
      </c>
      <c r="D105" s="21" t="s">
        <v>77</v>
      </c>
      <c r="E105" s="104"/>
      <c r="F105" s="18">
        <v>350304</v>
      </c>
      <c r="G105" s="19" t="s">
        <v>670</v>
      </c>
      <c r="H105" s="18">
        <v>15</v>
      </c>
      <c r="I105" s="18" t="s">
        <v>48</v>
      </c>
      <c r="J105" s="56"/>
    </row>
    <row r="106" spans="1:10" ht="15.75" customHeight="1" x14ac:dyDescent="0.2">
      <c r="A106" s="18" t="s">
        <v>44</v>
      </c>
      <c r="B106" s="19" t="s">
        <v>564</v>
      </c>
      <c r="C106" s="20" t="s">
        <v>625</v>
      </c>
      <c r="D106" s="21" t="s">
        <v>77</v>
      </c>
      <c r="E106" s="104"/>
      <c r="F106" s="18">
        <v>350305</v>
      </c>
      <c r="G106" s="19" t="s">
        <v>671</v>
      </c>
      <c r="H106" s="18">
        <v>12</v>
      </c>
      <c r="I106" s="18" t="s">
        <v>48</v>
      </c>
      <c r="J106" s="56"/>
    </row>
    <row r="107" spans="1:10" ht="15.75" customHeight="1" x14ac:dyDescent="0.2">
      <c r="A107" s="18" t="s">
        <v>44</v>
      </c>
      <c r="B107" s="19" t="s">
        <v>564</v>
      </c>
      <c r="C107" s="20" t="s">
        <v>625</v>
      </c>
      <c r="D107" s="21" t="s">
        <v>77</v>
      </c>
      <c r="E107" s="104"/>
      <c r="F107" s="18">
        <v>350306</v>
      </c>
      <c r="G107" s="19" t="s">
        <v>672</v>
      </c>
      <c r="H107" s="18">
        <v>5</v>
      </c>
      <c r="I107" s="18" t="s">
        <v>48</v>
      </c>
      <c r="J107" s="56"/>
    </row>
    <row r="108" spans="1:10" ht="15.75" customHeight="1" x14ac:dyDescent="0.2">
      <c r="A108" s="18" t="s">
        <v>44</v>
      </c>
      <c r="B108" s="19" t="s">
        <v>564</v>
      </c>
      <c r="C108" s="20" t="s">
        <v>625</v>
      </c>
      <c r="D108" s="21" t="s">
        <v>77</v>
      </c>
      <c r="E108" s="104"/>
      <c r="F108" s="18">
        <v>350307</v>
      </c>
      <c r="G108" s="19" t="s">
        <v>673</v>
      </c>
      <c r="H108" s="18">
        <v>1</v>
      </c>
      <c r="I108" s="18" t="s">
        <v>48</v>
      </c>
      <c r="J108" s="56"/>
    </row>
    <row r="109" spans="1:10" ht="15.75" customHeight="1" x14ac:dyDescent="0.2">
      <c r="A109" s="18" t="s">
        <v>44</v>
      </c>
      <c r="B109" s="19" t="s">
        <v>564</v>
      </c>
      <c r="C109" s="20" t="s">
        <v>625</v>
      </c>
      <c r="D109" s="21" t="s">
        <v>77</v>
      </c>
      <c r="E109" s="104"/>
      <c r="F109" s="18">
        <v>350308</v>
      </c>
      <c r="G109" s="19" t="s">
        <v>674</v>
      </c>
      <c r="H109" s="18">
        <v>1</v>
      </c>
      <c r="I109" s="18" t="s">
        <v>146</v>
      </c>
      <c r="J109" s="56"/>
    </row>
    <row r="110" spans="1:10" ht="15.75" customHeight="1" x14ac:dyDescent="0.2">
      <c r="A110" s="18" t="s">
        <v>44</v>
      </c>
      <c r="B110" s="19" t="s">
        <v>564</v>
      </c>
      <c r="C110" s="20" t="s">
        <v>625</v>
      </c>
      <c r="D110" s="21" t="s">
        <v>77</v>
      </c>
      <c r="E110" s="104"/>
      <c r="F110" s="18">
        <v>350309</v>
      </c>
      <c r="G110" s="19" t="s">
        <v>675</v>
      </c>
      <c r="H110" s="18">
        <v>1</v>
      </c>
      <c r="I110" s="18" t="s">
        <v>146</v>
      </c>
      <c r="J110" s="56"/>
    </row>
    <row r="111" spans="1:10" ht="15.75" customHeight="1" x14ac:dyDescent="0.2">
      <c r="A111" s="18" t="s">
        <v>44</v>
      </c>
      <c r="B111" s="19" t="s">
        <v>564</v>
      </c>
      <c r="C111" s="20" t="s">
        <v>625</v>
      </c>
      <c r="D111" s="21" t="s">
        <v>77</v>
      </c>
      <c r="E111" s="105"/>
      <c r="F111" s="18">
        <v>350310</v>
      </c>
      <c r="G111" s="19" t="s">
        <v>676</v>
      </c>
      <c r="H111" s="18">
        <v>1</v>
      </c>
      <c r="I111" s="18" t="s">
        <v>146</v>
      </c>
      <c r="J111" s="56"/>
    </row>
    <row r="112" spans="1:10" ht="15.75" customHeight="1" x14ac:dyDescent="0.2">
      <c r="A112" s="18" t="s">
        <v>44</v>
      </c>
      <c r="B112" s="19" t="s">
        <v>564</v>
      </c>
      <c r="C112" s="20" t="s">
        <v>625</v>
      </c>
      <c r="D112" s="21" t="s">
        <v>77</v>
      </c>
      <c r="E112" s="103" t="e" vm="103">
        <v>#VALUE!</v>
      </c>
      <c r="F112" s="18">
        <v>350202</v>
      </c>
      <c r="G112" s="19" t="s">
        <v>677</v>
      </c>
      <c r="H112" s="18">
        <v>30</v>
      </c>
      <c r="I112" s="18" t="s">
        <v>48</v>
      </c>
      <c r="J112" s="56"/>
    </row>
    <row r="113" spans="1:10" ht="15.75" customHeight="1" x14ac:dyDescent="0.2">
      <c r="A113" s="18" t="s">
        <v>44</v>
      </c>
      <c r="B113" s="19" t="s">
        <v>564</v>
      </c>
      <c r="C113" s="20" t="s">
        <v>625</v>
      </c>
      <c r="D113" s="21" t="s">
        <v>77</v>
      </c>
      <c r="E113" s="104"/>
      <c r="F113" s="18">
        <v>350203</v>
      </c>
      <c r="G113" s="19" t="s">
        <v>678</v>
      </c>
      <c r="H113" s="18">
        <v>20</v>
      </c>
      <c r="I113" s="18" t="s">
        <v>48</v>
      </c>
      <c r="J113" s="56"/>
    </row>
    <row r="114" spans="1:10" ht="15.75" customHeight="1" x14ac:dyDescent="0.2">
      <c r="A114" s="18" t="s">
        <v>44</v>
      </c>
      <c r="B114" s="19" t="s">
        <v>564</v>
      </c>
      <c r="C114" s="20" t="s">
        <v>625</v>
      </c>
      <c r="D114" s="21" t="s">
        <v>77</v>
      </c>
      <c r="E114" s="104"/>
      <c r="F114" s="18">
        <v>350204</v>
      </c>
      <c r="G114" s="19" t="s">
        <v>679</v>
      </c>
      <c r="H114" s="18">
        <v>20</v>
      </c>
      <c r="I114" s="18" t="s">
        <v>48</v>
      </c>
      <c r="J114" s="56"/>
    </row>
    <row r="115" spans="1:10" ht="15.75" customHeight="1" x14ac:dyDescent="0.2">
      <c r="A115" s="18" t="s">
        <v>44</v>
      </c>
      <c r="B115" s="19" t="s">
        <v>564</v>
      </c>
      <c r="C115" s="20" t="s">
        <v>625</v>
      </c>
      <c r="D115" s="21" t="s">
        <v>77</v>
      </c>
      <c r="E115" s="104"/>
      <c r="F115" s="18">
        <v>350205</v>
      </c>
      <c r="G115" s="19" t="s">
        <v>680</v>
      </c>
      <c r="H115" s="18">
        <v>15</v>
      </c>
      <c r="I115" s="18" t="s">
        <v>48</v>
      </c>
      <c r="J115" s="56"/>
    </row>
    <row r="116" spans="1:10" ht="15.75" customHeight="1" x14ac:dyDescent="0.2">
      <c r="A116" s="18" t="s">
        <v>44</v>
      </c>
      <c r="B116" s="19" t="s">
        <v>564</v>
      </c>
      <c r="C116" s="20" t="s">
        <v>625</v>
      </c>
      <c r="D116" s="21" t="s">
        <v>77</v>
      </c>
      <c r="E116" s="104"/>
      <c r="F116" s="18">
        <v>350206</v>
      </c>
      <c r="G116" s="19" t="s">
        <v>681</v>
      </c>
      <c r="H116" s="18">
        <v>10</v>
      </c>
      <c r="I116" s="18" t="s">
        <v>48</v>
      </c>
      <c r="J116" s="56"/>
    </row>
    <row r="117" spans="1:10" ht="15.75" customHeight="1" x14ac:dyDescent="0.2">
      <c r="A117" s="18" t="s">
        <v>44</v>
      </c>
      <c r="B117" s="19" t="s">
        <v>564</v>
      </c>
      <c r="C117" s="20" t="s">
        <v>625</v>
      </c>
      <c r="D117" s="21" t="s">
        <v>77</v>
      </c>
      <c r="E117" s="104"/>
      <c r="F117" s="18">
        <v>350207</v>
      </c>
      <c r="G117" s="19" t="s">
        <v>682</v>
      </c>
      <c r="H117" s="18">
        <v>10</v>
      </c>
      <c r="I117" s="18" t="s">
        <v>48</v>
      </c>
      <c r="J117" s="56"/>
    </row>
    <row r="118" spans="1:10" ht="15.75" customHeight="1" x14ac:dyDescent="0.2">
      <c r="A118" s="18" t="s">
        <v>44</v>
      </c>
      <c r="B118" s="19" t="s">
        <v>564</v>
      </c>
      <c r="C118" s="20" t="s">
        <v>625</v>
      </c>
      <c r="D118" s="21" t="s">
        <v>77</v>
      </c>
      <c r="E118" s="104"/>
      <c r="F118" s="18">
        <v>350208</v>
      </c>
      <c r="G118" s="19" t="s">
        <v>683</v>
      </c>
      <c r="H118" s="18">
        <v>1</v>
      </c>
      <c r="I118" s="18" t="s">
        <v>146</v>
      </c>
      <c r="J118" s="56"/>
    </row>
    <row r="119" spans="1:10" ht="15.75" customHeight="1" x14ac:dyDescent="0.2">
      <c r="A119" s="18" t="s">
        <v>44</v>
      </c>
      <c r="B119" s="19" t="s">
        <v>564</v>
      </c>
      <c r="C119" s="20" t="s">
        <v>625</v>
      </c>
      <c r="D119" s="21" t="s">
        <v>77</v>
      </c>
      <c r="E119" s="104"/>
      <c r="F119" s="18">
        <v>350209</v>
      </c>
      <c r="G119" s="19" t="s">
        <v>684</v>
      </c>
      <c r="H119" s="18">
        <v>1</v>
      </c>
      <c r="I119" s="18" t="s">
        <v>146</v>
      </c>
      <c r="J119" s="56"/>
    </row>
    <row r="120" spans="1:10" ht="15.75" customHeight="1" x14ac:dyDescent="0.2">
      <c r="A120" s="18" t="s">
        <v>44</v>
      </c>
      <c r="B120" s="19" t="s">
        <v>564</v>
      </c>
      <c r="C120" s="20" t="s">
        <v>625</v>
      </c>
      <c r="D120" s="21" t="s">
        <v>77</v>
      </c>
      <c r="E120" s="105"/>
      <c r="F120" s="18">
        <v>350210</v>
      </c>
      <c r="G120" s="19" t="s">
        <v>685</v>
      </c>
      <c r="H120" s="18">
        <v>1</v>
      </c>
      <c r="I120" s="18" t="s">
        <v>146</v>
      </c>
      <c r="J120" s="56"/>
    </row>
    <row r="121" spans="1:10" ht="15.75" customHeight="1" x14ac:dyDescent="0.2">
      <c r="A121" s="18" t="s">
        <v>44</v>
      </c>
      <c r="B121" s="19" t="s">
        <v>564</v>
      </c>
      <c r="C121" s="20" t="s">
        <v>625</v>
      </c>
      <c r="D121" s="21" t="s">
        <v>77</v>
      </c>
      <c r="E121" s="103" t="e" vm="104">
        <v>#VALUE!</v>
      </c>
      <c r="F121" s="18">
        <v>350102</v>
      </c>
      <c r="G121" s="19" t="s">
        <v>686</v>
      </c>
      <c r="H121" s="18">
        <v>60</v>
      </c>
      <c r="I121" s="18" t="s">
        <v>48</v>
      </c>
      <c r="J121" s="56"/>
    </row>
    <row r="122" spans="1:10" ht="15.75" customHeight="1" x14ac:dyDescent="0.2">
      <c r="A122" s="18" t="s">
        <v>44</v>
      </c>
      <c r="B122" s="19" t="s">
        <v>564</v>
      </c>
      <c r="C122" s="20" t="s">
        <v>625</v>
      </c>
      <c r="D122" s="21" t="s">
        <v>77</v>
      </c>
      <c r="E122" s="104"/>
      <c r="F122" s="18">
        <v>350103</v>
      </c>
      <c r="G122" s="19" t="s">
        <v>687</v>
      </c>
      <c r="H122" s="18">
        <v>34</v>
      </c>
      <c r="I122" s="18" t="s">
        <v>48</v>
      </c>
      <c r="J122" s="56"/>
    </row>
    <row r="123" spans="1:10" ht="15.75" customHeight="1" x14ac:dyDescent="0.2">
      <c r="A123" s="18" t="s">
        <v>44</v>
      </c>
      <c r="B123" s="19" t="s">
        <v>564</v>
      </c>
      <c r="C123" s="20" t="s">
        <v>625</v>
      </c>
      <c r="D123" s="21" t="s">
        <v>77</v>
      </c>
      <c r="E123" s="104"/>
      <c r="F123" s="18">
        <v>350104</v>
      </c>
      <c r="G123" s="19" t="s">
        <v>688</v>
      </c>
      <c r="H123" s="18">
        <v>40</v>
      </c>
      <c r="I123" s="18" t="s">
        <v>48</v>
      </c>
      <c r="J123" s="56"/>
    </row>
    <row r="124" spans="1:10" ht="15.75" customHeight="1" x14ac:dyDescent="0.2">
      <c r="A124" s="18" t="s">
        <v>44</v>
      </c>
      <c r="B124" s="19" t="s">
        <v>564</v>
      </c>
      <c r="C124" s="20" t="s">
        <v>625</v>
      </c>
      <c r="D124" s="21" t="s">
        <v>77</v>
      </c>
      <c r="E124" s="104"/>
      <c r="F124" s="18">
        <v>350105</v>
      </c>
      <c r="G124" s="19" t="s">
        <v>689</v>
      </c>
      <c r="H124" s="18">
        <v>20</v>
      </c>
      <c r="I124" s="18" t="s">
        <v>48</v>
      </c>
      <c r="J124" s="56"/>
    </row>
    <row r="125" spans="1:10" ht="15.75" customHeight="1" x14ac:dyDescent="0.2">
      <c r="A125" s="18" t="s">
        <v>44</v>
      </c>
      <c r="B125" s="19" t="s">
        <v>564</v>
      </c>
      <c r="C125" s="20" t="s">
        <v>625</v>
      </c>
      <c r="D125" s="21" t="s">
        <v>77</v>
      </c>
      <c r="E125" s="104"/>
      <c r="F125" s="18">
        <v>350106</v>
      </c>
      <c r="G125" s="19" t="s">
        <v>690</v>
      </c>
      <c r="H125" s="18">
        <v>10</v>
      </c>
      <c r="I125" s="18" t="s">
        <v>48</v>
      </c>
      <c r="J125" s="56"/>
    </row>
    <row r="126" spans="1:10" ht="15.75" customHeight="1" x14ac:dyDescent="0.2">
      <c r="A126" s="18" t="s">
        <v>44</v>
      </c>
      <c r="B126" s="19" t="s">
        <v>564</v>
      </c>
      <c r="C126" s="20" t="s">
        <v>625</v>
      </c>
      <c r="D126" s="21" t="s">
        <v>77</v>
      </c>
      <c r="E126" s="104"/>
      <c r="F126" s="18">
        <v>350107</v>
      </c>
      <c r="G126" s="19" t="s">
        <v>691</v>
      </c>
      <c r="H126" s="18">
        <v>10</v>
      </c>
      <c r="I126" s="18" t="s">
        <v>48</v>
      </c>
      <c r="J126" s="56"/>
    </row>
    <row r="127" spans="1:10" ht="15.75" customHeight="1" x14ac:dyDescent="0.2">
      <c r="A127" s="18" t="s">
        <v>44</v>
      </c>
      <c r="B127" s="19" t="s">
        <v>564</v>
      </c>
      <c r="C127" s="20" t="s">
        <v>625</v>
      </c>
      <c r="D127" s="21" t="s">
        <v>77</v>
      </c>
      <c r="E127" s="104"/>
      <c r="F127" s="18">
        <v>350108</v>
      </c>
      <c r="G127" s="19" t="s">
        <v>692</v>
      </c>
      <c r="H127" s="18">
        <v>1</v>
      </c>
      <c r="I127" s="18" t="s">
        <v>146</v>
      </c>
      <c r="J127" s="56"/>
    </row>
    <row r="128" spans="1:10" ht="15.75" customHeight="1" x14ac:dyDescent="0.2">
      <c r="A128" s="18" t="s">
        <v>44</v>
      </c>
      <c r="B128" s="19" t="s">
        <v>564</v>
      </c>
      <c r="C128" s="20" t="s">
        <v>625</v>
      </c>
      <c r="D128" s="21" t="s">
        <v>77</v>
      </c>
      <c r="E128" s="104"/>
      <c r="F128" s="18">
        <v>350109</v>
      </c>
      <c r="G128" s="19" t="s">
        <v>693</v>
      </c>
      <c r="H128" s="18">
        <v>1</v>
      </c>
      <c r="I128" s="18" t="s">
        <v>146</v>
      </c>
      <c r="J128" s="56"/>
    </row>
    <row r="129" spans="1:10" ht="15.75" customHeight="1" x14ac:dyDescent="0.2">
      <c r="A129" s="18" t="s">
        <v>44</v>
      </c>
      <c r="B129" s="19" t="s">
        <v>564</v>
      </c>
      <c r="C129" s="20" t="s">
        <v>625</v>
      </c>
      <c r="D129" s="21" t="s">
        <v>77</v>
      </c>
      <c r="E129" s="104"/>
      <c r="F129" s="18">
        <v>350110</v>
      </c>
      <c r="G129" s="19" t="s">
        <v>694</v>
      </c>
      <c r="H129" s="18">
        <v>1</v>
      </c>
      <c r="I129" s="18" t="s">
        <v>146</v>
      </c>
      <c r="J129" s="56"/>
    </row>
    <row r="130" spans="1:10" ht="15.75" customHeight="1" x14ac:dyDescent="0.2">
      <c r="A130" s="18" t="s">
        <v>44</v>
      </c>
      <c r="B130" s="19" t="s">
        <v>564</v>
      </c>
      <c r="C130" s="20" t="s">
        <v>625</v>
      </c>
      <c r="D130" s="21" t="s">
        <v>77</v>
      </c>
      <c r="E130" s="104"/>
      <c r="F130" s="18">
        <v>350111</v>
      </c>
      <c r="G130" s="19" t="s">
        <v>695</v>
      </c>
      <c r="H130" s="18">
        <v>1</v>
      </c>
      <c r="I130" s="18" t="s">
        <v>146</v>
      </c>
      <c r="J130" s="56"/>
    </row>
    <row r="131" spans="1:10" ht="15.75" customHeight="1" x14ac:dyDescent="0.2">
      <c r="A131" s="18" t="s">
        <v>44</v>
      </c>
      <c r="B131" s="19" t="s">
        <v>564</v>
      </c>
      <c r="C131" s="20" t="s">
        <v>625</v>
      </c>
      <c r="D131" s="21" t="s">
        <v>77</v>
      </c>
      <c r="E131" s="104"/>
      <c r="F131" s="18">
        <v>350112</v>
      </c>
      <c r="G131" s="19" t="s">
        <v>696</v>
      </c>
      <c r="H131" s="18">
        <v>1</v>
      </c>
      <c r="I131" s="18" t="s">
        <v>146</v>
      </c>
      <c r="J131" s="56"/>
    </row>
    <row r="132" spans="1:10" ht="16.5" customHeight="1" x14ac:dyDescent="0.2">
      <c r="A132" s="18" t="s">
        <v>44</v>
      </c>
      <c r="B132" s="19" t="s">
        <v>564</v>
      </c>
      <c r="C132" s="20" t="s">
        <v>625</v>
      </c>
      <c r="D132" s="21" t="s">
        <v>77</v>
      </c>
      <c r="E132" s="105"/>
      <c r="F132" s="18">
        <v>350113</v>
      </c>
      <c r="G132" s="19" t="s">
        <v>697</v>
      </c>
      <c r="H132" s="18">
        <v>1</v>
      </c>
      <c r="I132" s="18" t="s">
        <v>146</v>
      </c>
      <c r="J132" s="56"/>
    </row>
    <row r="133" spans="1:10" ht="18" customHeight="1" x14ac:dyDescent="0.2">
      <c r="A133" s="18" t="s">
        <v>44</v>
      </c>
      <c r="B133" s="19" t="s">
        <v>564</v>
      </c>
      <c r="C133" s="20" t="s">
        <v>625</v>
      </c>
      <c r="D133" s="21" t="s">
        <v>77</v>
      </c>
      <c r="E133" s="103" t="e" vm="105">
        <v>#VALUE!</v>
      </c>
      <c r="F133" s="18">
        <v>350121</v>
      </c>
      <c r="G133" s="19" t="s">
        <v>698</v>
      </c>
      <c r="H133" s="18">
        <v>36</v>
      </c>
      <c r="I133" s="18" t="s">
        <v>48</v>
      </c>
      <c r="J133" s="56"/>
    </row>
    <row r="134" spans="1:10" ht="18" customHeight="1" x14ac:dyDescent="0.2">
      <c r="A134" s="18" t="s">
        <v>44</v>
      </c>
      <c r="B134" s="19" t="s">
        <v>564</v>
      </c>
      <c r="C134" s="20" t="s">
        <v>625</v>
      </c>
      <c r="D134" s="21" t="s">
        <v>77</v>
      </c>
      <c r="E134" s="121"/>
      <c r="F134" s="18">
        <v>350122</v>
      </c>
      <c r="G134" s="19" t="s">
        <v>699</v>
      </c>
      <c r="H134" s="18">
        <v>25</v>
      </c>
      <c r="I134" s="18" t="s">
        <v>48</v>
      </c>
      <c r="J134" s="56"/>
    </row>
    <row r="135" spans="1:10" ht="18" customHeight="1" x14ac:dyDescent="0.2">
      <c r="A135" s="18" t="s">
        <v>44</v>
      </c>
      <c r="B135" s="19" t="s">
        <v>564</v>
      </c>
      <c r="C135" s="20" t="s">
        <v>625</v>
      </c>
      <c r="D135" s="21" t="s">
        <v>77</v>
      </c>
      <c r="E135" s="122"/>
      <c r="F135" s="18">
        <v>350123</v>
      </c>
      <c r="G135" s="19" t="s">
        <v>700</v>
      </c>
      <c r="H135" s="18">
        <v>10</v>
      </c>
      <c r="I135" s="18" t="s">
        <v>48</v>
      </c>
      <c r="J135" s="56"/>
    </row>
    <row r="136" spans="1:10" ht="15.75" customHeight="1" x14ac:dyDescent="0.2">
      <c r="A136" s="18" t="s">
        <v>44</v>
      </c>
      <c r="B136" s="19" t="s">
        <v>564</v>
      </c>
      <c r="C136" s="20" t="s">
        <v>625</v>
      </c>
      <c r="D136" s="21" t="s">
        <v>77</v>
      </c>
      <c r="E136" s="103" t="e" vm="106">
        <v>#VALUE!</v>
      </c>
      <c r="F136" s="18">
        <v>350402</v>
      </c>
      <c r="G136" s="19" t="s">
        <v>701</v>
      </c>
      <c r="H136" s="18">
        <v>65</v>
      </c>
      <c r="I136" s="18" t="s">
        <v>48</v>
      </c>
      <c r="J136" s="56"/>
    </row>
    <row r="137" spans="1:10" ht="15.75" customHeight="1" x14ac:dyDescent="0.2">
      <c r="A137" s="18" t="s">
        <v>44</v>
      </c>
      <c r="B137" s="19" t="s">
        <v>564</v>
      </c>
      <c r="C137" s="20" t="s">
        <v>625</v>
      </c>
      <c r="D137" s="21" t="s">
        <v>77</v>
      </c>
      <c r="E137" s="104"/>
      <c r="F137" s="18">
        <v>350403</v>
      </c>
      <c r="G137" s="19" t="s">
        <v>702</v>
      </c>
      <c r="H137" s="18">
        <v>40</v>
      </c>
      <c r="I137" s="18" t="s">
        <v>48</v>
      </c>
      <c r="J137" s="56"/>
    </row>
    <row r="138" spans="1:10" ht="15.75" customHeight="1" x14ac:dyDescent="0.2">
      <c r="A138" s="18" t="s">
        <v>44</v>
      </c>
      <c r="B138" s="19" t="s">
        <v>564</v>
      </c>
      <c r="C138" s="20" t="s">
        <v>625</v>
      </c>
      <c r="D138" s="21" t="s">
        <v>77</v>
      </c>
      <c r="E138" s="104"/>
      <c r="F138" s="18">
        <v>350404</v>
      </c>
      <c r="G138" s="19" t="s">
        <v>703</v>
      </c>
      <c r="H138" s="18">
        <v>20</v>
      </c>
      <c r="I138" s="18" t="s">
        <v>48</v>
      </c>
      <c r="J138" s="56"/>
    </row>
    <row r="139" spans="1:10" ht="15.75" customHeight="1" x14ac:dyDescent="0.2">
      <c r="A139" s="18" t="s">
        <v>44</v>
      </c>
      <c r="B139" s="19" t="s">
        <v>564</v>
      </c>
      <c r="C139" s="20" t="s">
        <v>625</v>
      </c>
      <c r="D139" s="21" t="s">
        <v>77</v>
      </c>
      <c r="E139" s="104"/>
      <c r="F139" s="18">
        <v>350405</v>
      </c>
      <c r="G139" s="19" t="s">
        <v>704</v>
      </c>
      <c r="H139" s="18">
        <v>18</v>
      </c>
      <c r="I139" s="18" t="s">
        <v>48</v>
      </c>
      <c r="J139" s="56"/>
    </row>
    <row r="140" spans="1:10" ht="15.75" customHeight="1" x14ac:dyDescent="0.2">
      <c r="A140" s="18" t="s">
        <v>44</v>
      </c>
      <c r="B140" s="19" t="s">
        <v>564</v>
      </c>
      <c r="C140" s="20" t="s">
        <v>625</v>
      </c>
      <c r="D140" s="21" t="s">
        <v>77</v>
      </c>
      <c r="E140" s="104"/>
      <c r="F140" s="18">
        <v>350406</v>
      </c>
      <c r="G140" s="19" t="s">
        <v>705</v>
      </c>
      <c r="H140" s="18">
        <v>10</v>
      </c>
      <c r="I140" s="18" t="s">
        <v>48</v>
      </c>
      <c r="J140" s="56"/>
    </row>
    <row r="141" spans="1:10" ht="15.75" customHeight="1" x14ac:dyDescent="0.2">
      <c r="A141" s="18" t="s">
        <v>44</v>
      </c>
      <c r="B141" s="19" t="s">
        <v>564</v>
      </c>
      <c r="C141" s="20" t="s">
        <v>625</v>
      </c>
      <c r="D141" s="21" t="s">
        <v>77</v>
      </c>
      <c r="E141" s="104"/>
      <c r="F141" s="18">
        <v>350407</v>
      </c>
      <c r="G141" s="19" t="s">
        <v>706</v>
      </c>
      <c r="H141" s="18">
        <v>8</v>
      </c>
      <c r="I141" s="18" t="s">
        <v>48</v>
      </c>
      <c r="J141" s="56"/>
    </row>
    <row r="142" spans="1:10" ht="15.75" customHeight="1" x14ac:dyDescent="0.2">
      <c r="A142" s="18" t="s">
        <v>44</v>
      </c>
      <c r="B142" s="19" t="s">
        <v>564</v>
      </c>
      <c r="C142" s="20" t="s">
        <v>625</v>
      </c>
      <c r="D142" s="21" t="s">
        <v>77</v>
      </c>
      <c r="E142" s="104"/>
      <c r="F142" s="18">
        <v>350408</v>
      </c>
      <c r="G142" s="19" t="s">
        <v>707</v>
      </c>
      <c r="H142" s="18">
        <v>1</v>
      </c>
      <c r="I142" s="18" t="s">
        <v>146</v>
      </c>
      <c r="J142" s="56"/>
    </row>
    <row r="143" spans="1:10" ht="15.75" customHeight="1" x14ac:dyDescent="0.2">
      <c r="A143" s="18" t="s">
        <v>44</v>
      </c>
      <c r="B143" s="19" t="s">
        <v>564</v>
      </c>
      <c r="C143" s="20" t="s">
        <v>625</v>
      </c>
      <c r="D143" s="21" t="s">
        <v>77</v>
      </c>
      <c r="E143" s="104"/>
      <c r="F143" s="18">
        <v>350409</v>
      </c>
      <c r="G143" s="19" t="s">
        <v>708</v>
      </c>
      <c r="H143" s="18">
        <v>1</v>
      </c>
      <c r="I143" s="18" t="s">
        <v>146</v>
      </c>
      <c r="J143" s="56"/>
    </row>
    <row r="144" spans="1:10" ht="15.75" customHeight="1" x14ac:dyDescent="0.2">
      <c r="A144" s="18" t="s">
        <v>44</v>
      </c>
      <c r="B144" s="19" t="s">
        <v>564</v>
      </c>
      <c r="C144" s="20" t="s">
        <v>625</v>
      </c>
      <c r="D144" s="21" t="s">
        <v>77</v>
      </c>
      <c r="E144" s="104"/>
      <c r="F144" s="18">
        <v>350410</v>
      </c>
      <c r="G144" s="19" t="s">
        <v>709</v>
      </c>
      <c r="H144" s="18">
        <v>1</v>
      </c>
      <c r="I144" s="18" t="s">
        <v>146</v>
      </c>
      <c r="J144" s="56"/>
    </row>
    <row r="145" spans="1:10" ht="15.75" customHeight="1" x14ac:dyDescent="0.2">
      <c r="A145" s="18" t="s">
        <v>44</v>
      </c>
      <c r="B145" s="19" t="s">
        <v>564</v>
      </c>
      <c r="C145" s="20" t="s">
        <v>625</v>
      </c>
      <c r="D145" s="21" t="s">
        <v>77</v>
      </c>
      <c r="E145" s="104"/>
      <c r="F145" s="18">
        <v>350411</v>
      </c>
      <c r="G145" s="19" t="s">
        <v>710</v>
      </c>
      <c r="H145" s="18">
        <v>1</v>
      </c>
      <c r="I145" s="18" t="s">
        <v>146</v>
      </c>
      <c r="J145" s="56"/>
    </row>
    <row r="146" spans="1:10" ht="15.75" customHeight="1" x14ac:dyDescent="0.2">
      <c r="A146" s="18" t="s">
        <v>44</v>
      </c>
      <c r="B146" s="19" t="s">
        <v>564</v>
      </c>
      <c r="C146" s="20" t="s">
        <v>625</v>
      </c>
      <c r="D146" s="21" t="s">
        <v>77</v>
      </c>
      <c r="E146" s="105"/>
      <c r="F146" s="18">
        <v>350412</v>
      </c>
      <c r="G146" s="19" t="s">
        <v>711</v>
      </c>
      <c r="H146" s="18">
        <v>1</v>
      </c>
      <c r="I146" s="18" t="s">
        <v>146</v>
      </c>
      <c r="J146" s="56"/>
    </row>
    <row r="147" spans="1:10" ht="15.75" customHeight="1" x14ac:dyDescent="0.2">
      <c r="A147" s="18" t="s">
        <v>44</v>
      </c>
      <c r="B147" s="19" t="s">
        <v>564</v>
      </c>
      <c r="C147" s="20" t="s">
        <v>625</v>
      </c>
      <c r="D147" s="21" t="s">
        <v>77</v>
      </c>
      <c r="E147" s="103" t="e" vm="107">
        <v>#VALUE!</v>
      </c>
      <c r="F147" s="18">
        <v>351303</v>
      </c>
      <c r="G147" s="19" t="s">
        <v>712</v>
      </c>
      <c r="H147" s="18">
        <v>30</v>
      </c>
      <c r="I147" s="18" t="s">
        <v>48</v>
      </c>
      <c r="J147" s="56"/>
    </row>
    <row r="148" spans="1:10" ht="15.75" customHeight="1" x14ac:dyDescent="0.2">
      <c r="A148" s="18" t="s">
        <v>44</v>
      </c>
      <c r="B148" s="19" t="s">
        <v>564</v>
      </c>
      <c r="C148" s="20" t="s">
        <v>625</v>
      </c>
      <c r="D148" s="21" t="s">
        <v>77</v>
      </c>
      <c r="E148" s="104"/>
      <c r="F148" s="18">
        <v>351308</v>
      </c>
      <c r="G148" s="19" t="s">
        <v>713</v>
      </c>
      <c r="H148" s="18">
        <v>30</v>
      </c>
      <c r="I148" s="18" t="s">
        <v>48</v>
      </c>
      <c r="J148" s="56"/>
    </row>
    <row r="149" spans="1:10" ht="15.75" customHeight="1" x14ac:dyDescent="0.2">
      <c r="A149" s="18" t="s">
        <v>44</v>
      </c>
      <c r="B149" s="19" t="s">
        <v>564</v>
      </c>
      <c r="C149" s="20" t="s">
        <v>625</v>
      </c>
      <c r="D149" s="21" t="s">
        <v>77</v>
      </c>
      <c r="E149" s="104"/>
      <c r="F149" s="18">
        <v>351304</v>
      </c>
      <c r="G149" s="19" t="s">
        <v>714</v>
      </c>
      <c r="H149" s="18">
        <v>20</v>
      </c>
      <c r="I149" s="18" t="s">
        <v>48</v>
      </c>
      <c r="J149" s="56"/>
    </row>
    <row r="150" spans="1:10" ht="15.75" customHeight="1" x14ac:dyDescent="0.2">
      <c r="A150" s="18" t="s">
        <v>44</v>
      </c>
      <c r="B150" s="19" t="s">
        <v>564</v>
      </c>
      <c r="C150" s="20" t="s">
        <v>625</v>
      </c>
      <c r="D150" s="21" t="s">
        <v>77</v>
      </c>
      <c r="E150" s="104"/>
      <c r="F150" s="18">
        <v>351309</v>
      </c>
      <c r="G150" s="19" t="s">
        <v>715</v>
      </c>
      <c r="H150" s="18">
        <v>18</v>
      </c>
      <c r="I150" s="18" t="s">
        <v>48</v>
      </c>
      <c r="J150" s="56"/>
    </row>
    <row r="151" spans="1:10" ht="15.75" customHeight="1" x14ac:dyDescent="0.2">
      <c r="A151" s="18" t="s">
        <v>44</v>
      </c>
      <c r="B151" s="19" t="s">
        <v>564</v>
      </c>
      <c r="C151" s="20" t="s">
        <v>625</v>
      </c>
      <c r="D151" s="21" t="s">
        <v>77</v>
      </c>
      <c r="E151" s="104"/>
      <c r="F151" s="18">
        <v>351310</v>
      </c>
      <c r="G151" s="19" t="s">
        <v>716</v>
      </c>
      <c r="H151" s="18">
        <v>16</v>
      </c>
      <c r="I151" s="18" t="s">
        <v>48</v>
      </c>
      <c r="J151" s="56"/>
    </row>
    <row r="152" spans="1:10" ht="15.75" customHeight="1" x14ac:dyDescent="0.2">
      <c r="A152" s="18" t="s">
        <v>44</v>
      </c>
      <c r="B152" s="19" t="s">
        <v>564</v>
      </c>
      <c r="C152" s="20" t="s">
        <v>625</v>
      </c>
      <c r="D152" s="21" t="s">
        <v>77</v>
      </c>
      <c r="E152" s="104"/>
      <c r="F152" s="18">
        <v>351305</v>
      </c>
      <c r="G152" s="19" t="s">
        <v>717</v>
      </c>
      <c r="H152" s="18">
        <v>15</v>
      </c>
      <c r="I152" s="18" t="s">
        <v>48</v>
      </c>
      <c r="J152" s="56"/>
    </row>
    <row r="153" spans="1:10" ht="15.75" customHeight="1" x14ac:dyDescent="0.2">
      <c r="A153" s="18" t="s">
        <v>44</v>
      </c>
      <c r="B153" s="19" t="s">
        <v>564</v>
      </c>
      <c r="C153" s="20" t="s">
        <v>625</v>
      </c>
      <c r="D153" s="21" t="s">
        <v>77</v>
      </c>
      <c r="E153" s="104"/>
      <c r="F153" s="18">
        <v>351311</v>
      </c>
      <c r="G153" s="19" t="s">
        <v>718</v>
      </c>
      <c r="H153" s="18">
        <v>10</v>
      </c>
      <c r="I153" s="18" t="s">
        <v>48</v>
      </c>
      <c r="J153" s="56"/>
    </row>
    <row r="154" spans="1:10" ht="15.75" customHeight="1" x14ac:dyDescent="0.2">
      <c r="A154" s="18" t="s">
        <v>44</v>
      </c>
      <c r="B154" s="19" t="s">
        <v>564</v>
      </c>
      <c r="C154" s="20" t="s">
        <v>625</v>
      </c>
      <c r="D154" s="21" t="s">
        <v>77</v>
      </c>
      <c r="E154" s="104"/>
      <c r="F154" s="18">
        <v>351312</v>
      </c>
      <c r="G154" s="19" t="s">
        <v>719</v>
      </c>
      <c r="H154" s="18">
        <v>12</v>
      </c>
      <c r="I154" s="18" t="s">
        <v>48</v>
      </c>
      <c r="J154" s="56"/>
    </row>
    <row r="155" spans="1:10" ht="15.75" customHeight="1" x14ac:dyDescent="0.2">
      <c r="A155" s="18" t="s">
        <v>44</v>
      </c>
      <c r="B155" s="19" t="s">
        <v>564</v>
      </c>
      <c r="C155" s="20" t="s">
        <v>625</v>
      </c>
      <c r="D155" s="21" t="s">
        <v>77</v>
      </c>
      <c r="E155" s="104"/>
      <c r="F155" s="18">
        <v>351306</v>
      </c>
      <c r="G155" s="19" t="s">
        <v>720</v>
      </c>
      <c r="H155" s="18">
        <v>10</v>
      </c>
      <c r="I155" s="18" t="s">
        <v>48</v>
      </c>
      <c r="J155" s="56"/>
    </row>
    <row r="156" spans="1:10" ht="15.75" customHeight="1" x14ac:dyDescent="0.2">
      <c r="A156" s="18" t="s">
        <v>44</v>
      </c>
      <c r="B156" s="19" t="s">
        <v>564</v>
      </c>
      <c r="C156" s="20" t="s">
        <v>625</v>
      </c>
      <c r="D156" s="21" t="s">
        <v>77</v>
      </c>
      <c r="E156" s="104"/>
      <c r="F156" s="18">
        <v>351307</v>
      </c>
      <c r="G156" s="19" t="s">
        <v>721</v>
      </c>
      <c r="H156" s="18">
        <v>7</v>
      </c>
      <c r="I156" s="18" t="s">
        <v>48</v>
      </c>
      <c r="J156" s="56"/>
    </row>
    <row r="157" spans="1:10" ht="15.75" customHeight="1" x14ac:dyDescent="0.2">
      <c r="A157" s="18" t="s">
        <v>44</v>
      </c>
      <c r="B157" s="19" t="s">
        <v>564</v>
      </c>
      <c r="C157" s="20" t="s">
        <v>625</v>
      </c>
      <c r="D157" s="21" t="s">
        <v>77</v>
      </c>
      <c r="E157" s="104"/>
      <c r="F157" s="18">
        <v>351315</v>
      </c>
      <c r="G157" s="19" t="s">
        <v>722</v>
      </c>
      <c r="H157" s="18">
        <v>5</v>
      </c>
      <c r="I157" s="18" t="s">
        <v>48</v>
      </c>
      <c r="J157" s="56"/>
    </row>
    <row r="158" spans="1:10" ht="15.75" customHeight="1" x14ac:dyDescent="0.2">
      <c r="A158" s="18" t="s">
        <v>44</v>
      </c>
      <c r="B158" s="19" t="s">
        <v>564</v>
      </c>
      <c r="C158" s="20" t="s">
        <v>625</v>
      </c>
      <c r="D158" s="21" t="s">
        <v>77</v>
      </c>
      <c r="E158" s="104"/>
      <c r="F158" s="18">
        <v>351316</v>
      </c>
      <c r="G158" s="19" t="s">
        <v>723</v>
      </c>
      <c r="H158" s="18">
        <v>1</v>
      </c>
      <c r="I158" s="18" t="s">
        <v>48</v>
      </c>
      <c r="J158" s="56"/>
    </row>
    <row r="159" spans="1:10" ht="15.75" customHeight="1" x14ac:dyDescent="0.2">
      <c r="A159" s="18" t="s">
        <v>44</v>
      </c>
      <c r="B159" s="19" t="s">
        <v>564</v>
      </c>
      <c r="C159" s="20" t="s">
        <v>625</v>
      </c>
      <c r="D159" s="21" t="s">
        <v>77</v>
      </c>
      <c r="E159" s="104"/>
      <c r="F159" s="18">
        <v>351317</v>
      </c>
      <c r="G159" s="19" t="s">
        <v>724</v>
      </c>
      <c r="H159" s="18">
        <v>1</v>
      </c>
      <c r="I159" s="18" t="s">
        <v>48</v>
      </c>
      <c r="J159" s="56"/>
    </row>
    <row r="160" spans="1:10" ht="15.75" customHeight="1" x14ac:dyDescent="0.2">
      <c r="A160" s="18" t="s">
        <v>44</v>
      </c>
      <c r="B160" s="19" t="s">
        <v>564</v>
      </c>
      <c r="C160" s="20" t="s">
        <v>625</v>
      </c>
      <c r="D160" s="21" t="s">
        <v>77</v>
      </c>
      <c r="E160" s="104"/>
      <c r="F160" s="18">
        <v>351318</v>
      </c>
      <c r="G160" s="19" t="s">
        <v>725</v>
      </c>
      <c r="H160" s="18">
        <v>1</v>
      </c>
      <c r="I160" s="18" t="s">
        <v>48</v>
      </c>
      <c r="J160" s="56"/>
    </row>
    <row r="161" spans="1:10" ht="15.75" customHeight="1" x14ac:dyDescent="0.2">
      <c r="A161" s="18" t="s">
        <v>44</v>
      </c>
      <c r="B161" s="19" t="s">
        <v>564</v>
      </c>
      <c r="C161" s="20" t="s">
        <v>625</v>
      </c>
      <c r="D161" s="21" t="s">
        <v>77</v>
      </c>
      <c r="E161" s="104"/>
      <c r="F161" s="18">
        <v>351319</v>
      </c>
      <c r="G161" s="19" t="s">
        <v>726</v>
      </c>
      <c r="H161" s="18">
        <v>1</v>
      </c>
      <c r="I161" s="18" t="s">
        <v>146</v>
      </c>
      <c r="J161" s="56"/>
    </row>
    <row r="162" spans="1:10" ht="15.75" customHeight="1" x14ac:dyDescent="0.2">
      <c r="A162" s="18" t="s">
        <v>44</v>
      </c>
      <c r="B162" s="19" t="s">
        <v>564</v>
      </c>
      <c r="C162" s="20" t="s">
        <v>625</v>
      </c>
      <c r="D162" s="21" t="s">
        <v>77</v>
      </c>
      <c r="E162" s="104"/>
      <c r="F162" s="18">
        <v>351320</v>
      </c>
      <c r="G162" s="19" t="s">
        <v>727</v>
      </c>
      <c r="H162" s="18">
        <v>1</v>
      </c>
      <c r="I162" s="18" t="s">
        <v>146</v>
      </c>
      <c r="J162" s="56"/>
    </row>
    <row r="163" spans="1:10" ht="15.75" customHeight="1" x14ac:dyDescent="0.2">
      <c r="A163" s="18" t="s">
        <v>44</v>
      </c>
      <c r="B163" s="19" t="s">
        <v>564</v>
      </c>
      <c r="C163" s="20" t="s">
        <v>625</v>
      </c>
      <c r="D163" s="21" t="s">
        <v>77</v>
      </c>
      <c r="E163" s="104"/>
      <c r="F163" s="18">
        <v>351321</v>
      </c>
      <c r="G163" s="19" t="s">
        <v>728</v>
      </c>
      <c r="H163" s="18">
        <v>1</v>
      </c>
      <c r="I163" s="18" t="s">
        <v>146</v>
      </c>
      <c r="J163" s="56"/>
    </row>
    <row r="164" spans="1:10" ht="15.75" customHeight="1" x14ac:dyDescent="0.2">
      <c r="A164" s="18" t="s">
        <v>44</v>
      </c>
      <c r="B164" s="19" t="s">
        <v>564</v>
      </c>
      <c r="C164" s="20" t="s">
        <v>625</v>
      </c>
      <c r="D164" s="21" t="s">
        <v>77</v>
      </c>
      <c r="E164" s="104"/>
      <c r="F164" s="18">
        <v>351322</v>
      </c>
      <c r="G164" s="19" t="s">
        <v>729</v>
      </c>
      <c r="H164" s="18">
        <v>1</v>
      </c>
      <c r="I164" s="18" t="s">
        <v>146</v>
      </c>
      <c r="J164" s="56"/>
    </row>
    <row r="165" spans="1:10" ht="15.75" customHeight="1" x14ac:dyDescent="0.2">
      <c r="A165" s="18" t="s">
        <v>44</v>
      </c>
      <c r="B165" s="19" t="s">
        <v>564</v>
      </c>
      <c r="C165" s="20" t="s">
        <v>625</v>
      </c>
      <c r="D165" s="21" t="s">
        <v>77</v>
      </c>
      <c r="E165" s="104"/>
      <c r="F165" s="18">
        <v>351335</v>
      </c>
      <c r="G165" s="19" t="s">
        <v>730</v>
      </c>
      <c r="H165" s="18">
        <v>1</v>
      </c>
      <c r="I165" s="18" t="s">
        <v>146</v>
      </c>
      <c r="J165" s="56"/>
    </row>
    <row r="166" spans="1:10" ht="15.75" customHeight="1" x14ac:dyDescent="0.2">
      <c r="A166" s="18" t="s">
        <v>44</v>
      </c>
      <c r="B166" s="19" t="s">
        <v>564</v>
      </c>
      <c r="C166" s="20" t="s">
        <v>625</v>
      </c>
      <c r="D166" s="21" t="s">
        <v>77</v>
      </c>
      <c r="E166" s="104"/>
      <c r="F166" s="18">
        <v>351336</v>
      </c>
      <c r="G166" s="19" t="s">
        <v>731</v>
      </c>
      <c r="H166" s="18">
        <v>1</v>
      </c>
      <c r="I166" s="18" t="s">
        <v>146</v>
      </c>
      <c r="J166" s="56"/>
    </row>
    <row r="167" spans="1:10" ht="15.75" customHeight="1" x14ac:dyDescent="0.2">
      <c r="A167" s="18" t="s">
        <v>44</v>
      </c>
      <c r="B167" s="19" t="s">
        <v>564</v>
      </c>
      <c r="C167" s="20" t="s">
        <v>625</v>
      </c>
      <c r="D167" s="21" t="s">
        <v>77</v>
      </c>
      <c r="E167" s="104"/>
      <c r="F167" s="18">
        <v>351323</v>
      </c>
      <c r="G167" s="19" t="s">
        <v>732</v>
      </c>
      <c r="H167" s="18">
        <v>1</v>
      </c>
      <c r="I167" s="18" t="s">
        <v>146</v>
      </c>
      <c r="J167" s="56"/>
    </row>
    <row r="168" spans="1:10" ht="15.75" customHeight="1" x14ac:dyDescent="0.2">
      <c r="A168" s="18" t="s">
        <v>44</v>
      </c>
      <c r="B168" s="19" t="s">
        <v>564</v>
      </c>
      <c r="C168" s="20" t="s">
        <v>625</v>
      </c>
      <c r="D168" s="21" t="s">
        <v>77</v>
      </c>
      <c r="E168" s="104"/>
      <c r="F168" s="18">
        <v>351324</v>
      </c>
      <c r="G168" s="19" t="s">
        <v>733</v>
      </c>
      <c r="H168" s="18">
        <v>1</v>
      </c>
      <c r="I168" s="18" t="s">
        <v>146</v>
      </c>
      <c r="J168" s="56"/>
    </row>
    <row r="169" spans="1:10" ht="15.75" customHeight="1" x14ac:dyDescent="0.2">
      <c r="A169" s="18" t="s">
        <v>44</v>
      </c>
      <c r="B169" s="19" t="s">
        <v>564</v>
      </c>
      <c r="C169" s="20" t="s">
        <v>625</v>
      </c>
      <c r="D169" s="21" t="s">
        <v>77</v>
      </c>
      <c r="E169" s="104"/>
      <c r="F169" s="18">
        <v>351325</v>
      </c>
      <c r="G169" s="19" t="s">
        <v>734</v>
      </c>
      <c r="H169" s="18">
        <v>1</v>
      </c>
      <c r="I169" s="18" t="s">
        <v>146</v>
      </c>
      <c r="J169" s="56"/>
    </row>
    <row r="170" spans="1:10" ht="15.75" customHeight="1" x14ac:dyDescent="0.2">
      <c r="A170" s="18" t="s">
        <v>44</v>
      </c>
      <c r="B170" s="19" t="s">
        <v>564</v>
      </c>
      <c r="C170" s="20" t="s">
        <v>625</v>
      </c>
      <c r="D170" s="21" t="s">
        <v>77</v>
      </c>
      <c r="E170" s="104"/>
      <c r="F170" s="18">
        <v>351326</v>
      </c>
      <c r="G170" s="19" t="s">
        <v>735</v>
      </c>
      <c r="H170" s="18">
        <v>1</v>
      </c>
      <c r="I170" s="18" t="s">
        <v>146</v>
      </c>
      <c r="J170" s="56"/>
    </row>
    <row r="171" spans="1:10" ht="15.75" customHeight="1" x14ac:dyDescent="0.2">
      <c r="A171" s="18" t="s">
        <v>44</v>
      </c>
      <c r="B171" s="19" t="s">
        <v>564</v>
      </c>
      <c r="C171" s="20" t="s">
        <v>625</v>
      </c>
      <c r="D171" s="21" t="s">
        <v>77</v>
      </c>
      <c r="E171" s="104"/>
      <c r="F171" s="18">
        <v>351327</v>
      </c>
      <c r="G171" s="19" t="s">
        <v>736</v>
      </c>
      <c r="H171" s="18">
        <v>1</v>
      </c>
      <c r="I171" s="18" t="s">
        <v>146</v>
      </c>
      <c r="J171" s="56"/>
    </row>
    <row r="172" spans="1:10" ht="15.75" customHeight="1" x14ac:dyDescent="0.2">
      <c r="A172" s="18" t="s">
        <v>44</v>
      </c>
      <c r="B172" s="19" t="s">
        <v>564</v>
      </c>
      <c r="C172" s="20" t="s">
        <v>625</v>
      </c>
      <c r="D172" s="21" t="s">
        <v>77</v>
      </c>
      <c r="E172" s="104"/>
      <c r="F172" s="18">
        <v>351328</v>
      </c>
      <c r="G172" s="19" t="s">
        <v>737</v>
      </c>
      <c r="H172" s="18">
        <v>1</v>
      </c>
      <c r="I172" s="18" t="s">
        <v>146</v>
      </c>
      <c r="J172" s="56"/>
    </row>
    <row r="173" spans="1:10" ht="15.75" customHeight="1" x14ac:dyDescent="0.2">
      <c r="A173" s="18" t="s">
        <v>44</v>
      </c>
      <c r="B173" s="19" t="s">
        <v>564</v>
      </c>
      <c r="C173" s="20" t="s">
        <v>625</v>
      </c>
      <c r="D173" s="21" t="s">
        <v>77</v>
      </c>
      <c r="E173" s="104"/>
      <c r="F173" s="18">
        <v>351329</v>
      </c>
      <c r="G173" s="19" t="s">
        <v>738</v>
      </c>
      <c r="H173" s="18">
        <v>1</v>
      </c>
      <c r="I173" s="18" t="s">
        <v>146</v>
      </c>
      <c r="J173" s="56"/>
    </row>
    <row r="174" spans="1:10" ht="15.75" customHeight="1" x14ac:dyDescent="0.2">
      <c r="A174" s="18" t="s">
        <v>44</v>
      </c>
      <c r="B174" s="19" t="s">
        <v>564</v>
      </c>
      <c r="C174" s="20" t="s">
        <v>625</v>
      </c>
      <c r="D174" s="21" t="s">
        <v>77</v>
      </c>
      <c r="E174" s="104"/>
      <c r="F174" s="18">
        <v>351330</v>
      </c>
      <c r="G174" s="19" t="s">
        <v>739</v>
      </c>
      <c r="H174" s="18">
        <v>1</v>
      </c>
      <c r="I174" s="18" t="s">
        <v>146</v>
      </c>
      <c r="J174" s="56"/>
    </row>
    <row r="175" spans="1:10" ht="15.75" customHeight="1" x14ac:dyDescent="0.2">
      <c r="A175" s="18" t="s">
        <v>44</v>
      </c>
      <c r="B175" s="19" t="s">
        <v>564</v>
      </c>
      <c r="C175" s="20" t="s">
        <v>625</v>
      </c>
      <c r="D175" s="21" t="s">
        <v>77</v>
      </c>
      <c r="E175" s="104"/>
      <c r="F175" s="18">
        <v>351331</v>
      </c>
      <c r="G175" s="19" t="s">
        <v>740</v>
      </c>
      <c r="H175" s="18">
        <v>1</v>
      </c>
      <c r="I175" s="18" t="s">
        <v>146</v>
      </c>
      <c r="J175" s="56"/>
    </row>
    <row r="176" spans="1:10" ht="15.75" customHeight="1" x14ac:dyDescent="0.2">
      <c r="A176" s="18" t="s">
        <v>44</v>
      </c>
      <c r="B176" s="19" t="s">
        <v>564</v>
      </c>
      <c r="C176" s="20" t="s">
        <v>625</v>
      </c>
      <c r="D176" s="21" t="s">
        <v>77</v>
      </c>
      <c r="E176" s="105"/>
      <c r="F176" s="18">
        <v>351332</v>
      </c>
      <c r="G176" s="19" t="s">
        <v>741</v>
      </c>
      <c r="H176" s="18">
        <v>1</v>
      </c>
      <c r="I176" s="18" t="s">
        <v>146</v>
      </c>
      <c r="J176" s="56"/>
    </row>
    <row r="177" spans="1:10" ht="15.75" customHeight="1" x14ac:dyDescent="0.2">
      <c r="A177" s="18" t="s">
        <v>44</v>
      </c>
      <c r="B177" s="19" t="s">
        <v>564</v>
      </c>
      <c r="C177" s="20" t="s">
        <v>625</v>
      </c>
      <c r="D177" s="21" t="s">
        <v>77</v>
      </c>
      <c r="E177" s="111" t="e" vm="108">
        <v>#VALUE!</v>
      </c>
      <c r="F177" s="18">
        <v>350421</v>
      </c>
      <c r="G177" s="19" t="s">
        <v>742</v>
      </c>
      <c r="H177" s="18">
        <v>25</v>
      </c>
      <c r="I177" s="18" t="s">
        <v>48</v>
      </c>
      <c r="J177" s="56"/>
    </row>
    <row r="178" spans="1:10" ht="15.75" customHeight="1" x14ac:dyDescent="0.2">
      <c r="A178" s="18" t="s">
        <v>44</v>
      </c>
      <c r="B178" s="19" t="s">
        <v>564</v>
      </c>
      <c r="C178" s="20" t="s">
        <v>625</v>
      </c>
      <c r="D178" s="21" t="s">
        <v>77</v>
      </c>
      <c r="E178" s="111"/>
      <c r="F178" s="18">
        <v>350422</v>
      </c>
      <c r="G178" s="19" t="s">
        <v>743</v>
      </c>
      <c r="H178" s="18">
        <v>20</v>
      </c>
      <c r="I178" s="18" t="s">
        <v>48</v>
      </c>
      <c r="J178" s="56"/>
    </row>
    <row r="179" spans="1:10" ht="15.75" customHeight="1" x14ac:dyDescent="0.2">
      <c r="A179" s="18" t="s">
        <v>44</v>
      </c>
      <c r="B179" s="19" t="s">
        <v>564</v>
      </c>
      <c r="C179" s="20" t="s">
        <v>625</v>
      </c>
      <c r="D179" s="21" t="s">
        <v>77</v>
      </c>
      <c r="E179" s="111"/>
      <c r="F179" s="18">
        <v>350423</v>
      </c>
      <c r="G179" s="19" t="s">
        <v>744</v>
      </c>
      <c r="H179" s="18">
        <v>20</v>
      </c>
      <c r="I179" s="18" t="s">
        <v>48</v>
      </c>
      <c r="J179" s="56"/>
    </row>
    <row r="180" spans="1:10" ht="15.75" customHeight="1" x14ac:dyDescent="0.2">
      <c r="A180" s="18" t="s">
        <v>44</v>
      </c>
      <c r="B180" s="19" t="s">
        <v>564</v>
      </c>
      <c r="C180" s="20" t="s">
        <v>625</v>
      </c>
      <c r="D180" s="21" t="s">
        <v>77</v>
      </c>
      <c r="E180" s="111"/>
      <c r="F180" s="18">
        <v>350424</v>
      </c>
      <c r="G180" s="19" t="s">
        <v>745</v>
      </c>
      <c r="H180" s="18">
        <v>20</v>
      </c>
      <c r="I180" s="18" t="s">
        <v>48</v>
      </c>
      <c r="J180" s="56"/>
    </row>
    <row r="181" spans="1:10" ht="15.75" customHeight="1" x14ac:dyDescent="0.2">
      <c r="A181" s="18" t="s">
        <v>44</v>
      </c>
      <c r="B181" s="19" t="s">
        <v>564</v>
      </c>
      <c r="C181" s="20" t="s">
        <v>625</v>
      </c>
      <c r="D181" s="21" t="s">
        <v>77</v>
      </c>
      <c r="E181" s="111"/>
      <c r="F181" s="18">
        <v>350425</v>
      </c>
      <c r="G181" s="19" t="s">
        <v>746</v>
      </c>
      <c r="H181" s="18">
        <v>20</v>
      </c>
      <c r="I181" s="18" t="s">
        <v>48</v>
      </c>
      <c r="J181" s="56"/>
    </row>
    <row r="182" spans="1:10" ht="15.75" customHeight="1" x14ac:dyDescent="0.2">
      <c r="A182" s="18" t="s">
        <v>44</v>
      </c>
      <c r="B182" s="19" t="s">
        <v>564</v>
      </c>
      <c r="C182" s="20" t="s">
        <v>625</v>
      </c>
      <c r="D182" s="21" t="s">
        <v>77</v>
      </c>
      <c r="E182" s="111"/>
      <c r="F182" s="18">
        <v>350426</v>
      </c>
      <c r="G182" s="19" t="s">
        <v>747</v>
      </c>
      <c r="H182" s="18">
        <v>13</v>
      </c>
      <c r="I182" s="18" t="s">
        <v>48</v>
      </c>
      <c r="J182" s="56"/>
    </row>
    <row r="183" spans="1:10" ht="15.75" customHeight="1" x14ac:dyDescent="0.2">
      <c r="A183" s="18" t="s">
        <v>44</v>
      </c>
      <c r="B183" s="19" t="s">
        <v>564</v>
      </c>
      <c r="C183" s="20" t="s">
        <v>625</v>
      </c>
      <c r="D183" s="21" t="s">
        <v>77</v>
      </c>
      <c r="E183" s="111"/>
      <c r="F183" s="18">
        <v>350427</v>
      </c>
      <c r="G183" s="19" t="s">
        <v>748</v>
      </c>
      <c r="H183" s="18">
        <v>10</v>
      </c>
      <c r="I183" s="18" t="s">
        <v>48</v>
      </c>
      <c r="J183" s="56"/>
    </row>
    <row r="184" spans="1:10" ht="15.75" customHeight="1" x14ac:dyDescent="0.2">
      <c r="A184" s="18" t="s">
        <v>44</v>
      </c>
      <c r="B184" s="19" t="s">
        <v>564</v>
      </c>
      <c r="C184" s="20" t="s">
        <v>625</v>
      </c>
      <c r="D184" s="21" t="s">
        <v>77</v>
      </c>
      <c r="E184" s="111"/>
      <c r="F184" s="18">
        <v>350428</v>
      </c>
      <c r="G184" s="19" t="s">
        <v>749</v>
      </c>
      <c r="H184" s="18">
        <v>8</v>
      </c>
      <c r="I184" s="18" t="s">
        <v>48</v>
      </c>
      <c r="J184" s="56"/>
    </row>
    <row r="185" spans="1:10" ht="15.75" customHeight="1" x14ac:dyDescent="0.2">
      <c r="A185" s="18" t="s">
        <v>44</v>
      </c>
      <c r="B185" s="19" t="s">
        <v>564</v>
      </c>
      <c r="C185" s="20" t="s">
        <v>625</v>
      </c>
      <c r="D185" s="21" t="s">
        <v>77</v>
      </c>
      <c r="E185" s="111"/>
      <c r="F185" s="18">
        <v>350429</v>
      </c>
      <c r="G185" s="19" t="s">
        <v>750</v>
      </c>
      <c r="H185" s="18">
        <v>8</v>
      </c>
      <c r="I185" s="18" t="s">
        <v>48</v>
      </c>
      <c r="J185" s="56"/>
    </row>
    <row r="186" spans="1:10" ht="15.75" customHeight="1" x14ac:dyDescent="0.2">
      <c r="A186" s="18" t="s">
        <v>44</v>
      </c>
      <c r="B186" s="19" t="s">
        <v>564</v>
      </c>
      <c r="C186" s="20" t="s">
        <v>625</v>
      </c>
      <c r="D186" s="21" t="s">
        <v>77</v>
      </c>
      <c r="E186" s="111"/>
      <c r="F186" s="18">
        <v>350430</v>
      </c>
      <c r="G186" s="19" t="s">
        <v>751</v>
      </c>
      <c r="H186" s="18">
        <v>1</v>
      </c>
      <c r="I186" s="18" t="s">
        <v>146</v>
      </c>
      <c r="J186" s="56"/>
    </row>
    <row r="187" spans="1:10" ht="15.75" customHeight="1" x14ac:dyDescent="0.2">
      <c r="A187" s="18" t="s">
        <v>44</v>
      </c>
      <c r="B187" s="19" t="s">
        <v>564</v>
      </c>
      <c r="C187" s="20" t="s">
        <v>625</v>
      </c>
      <c r="D187" s="21" t="s">
        <v>77</v>
      </c>
      <c r="E187" s="111"/>
      <c r="F187" s="18">
        <v>350431</v>
      </c>
      <c r="G187" s="19" t="s">
        <v>752</v>
      </c>
      <c r="H187" s="18">
        <v>1</v>
      </c>
      <c r="I187" s="18" t="s">
        <v>146</v>
      </c>
      <c r="J187" s="56"/>
    </row>
    <row r="188" spans="1:10" ht="15.75" customHeight="1" x14ac:dyDescent="0.2">
      <c r="A188" s="18" t="s">
        <v>44</v>
      </c>
      <c r="B188" s="19" t="s">
        <v>564</v>
      </c>
      <c r="C188" s="20" t="s">
        <v>625</v>
      </c>
      <c r="D188" s="21" t="s">
        <v>77</v>
      </c>
      <c r="E188" s="111"/>
      <c r="F188" s="18">
        <v>350432</v>
      </c>
      <c r="G188" s="19" t="s">
        <v>753</v>
      </c>
      <c r="H188" s="18">
        <v>1</v>
      </c>
      <c r="I188" s="18" t="s">
        <v>146</v>
      </c>
      <c r="J188" s="56"/>
    </row>
    <row r="189" spans="1:10" ht="45" customHeight="1" x14ac:dyDescent="0.2">
      <c r="A189" s="18" t="s">
        <v>44</v>
      </c>
      <c r="B189" s="19" t="s">
        <v>564</v>
      </c>
      <c r="C189" s="20" t="s">
        <v>625</v>
      </c>
      <c r="D189" s="21" t="s">
        <v>77</v>
      </c>
      <c r="E189" s="77" t="e" vm="109">
        <v>#VALUE!</v>
      </c>
      <c r="F189" s="18">
        <v>351950</v>
      </c>
      <c r="G189" s="19" t="s">
        <v>754</v>
      </c>
      <c r="H189" s="18">
        <v>1</v>
      </c>
      <c r="I189" s="18" t="s">
        <v>146</v>
      </c>
      <c r="J189" s="56"/>
    </row>
    <row r="190" spans="1:10" ht="15.75" customHeight="1" x14ac:dyDescent="0.2">
      <c r="A190" s="18" t="s">
        <v>44</v>
      </c>
      <c r="B190" s="19" t="s">
        <v>564</v>
      </c>
      <c r="C190" s="20" t="s">
        <v>625</v>
      </c>
      <c r="D190" s="21" t="s">
        <v>77</v>
      </c>
      <c r="E190" s="103" t="e" vm="110">
        <v>#VALUE!</v>
      </c>
      <c r="F190" s="18">
        <v>351203</v>
      </c>
      <c r="G190" s="19" t="s">
        <v>755</v>
      </c>
      <c r="H190" s="18">
        <v>30</v>
      </c>
      <c r="I190" s="18" t="s">
        <v>48</v>
      </c>
      <c r="J190" s="56"/>
    </row>
    <row r="191" spans="1:10" ht="15.75" customHeight="1" x14ac:dyDescent="0.2">
      <c r="A191" s="18" t="s">
        <v>44</v>
      </c>
      <c r="B191" s="19" t="s">
        <v>564</v>
      </c>
      <c r="C191" s="20" t="s">
        <v>625</v>
      </c>
      <c r="D191" s="21" t="s">
        <v>77</v>
      </c>
      <c r="E191" s="104"/>
      <c r="F191" s="18">
        <v>351108</v>
      </c>
      <c r="G191" s="19" t="s">
        <v>756</v>
      </c>
      <c r="H191" s="18">
        <v>18</v>
      </c>
      <c r="I191" s="18" t="s">
        <v>48</v>
      </c>
      <c r="J191" s="56"/>
    </row>
    <row r="192" spans="1:10" ht="15.75" customHeight="1" x14ac:dyDescent="0.2">
      <c r="A192" s="18" t="s">
        <v>44</v>
      </c>
      <c r="B192" s="19" t="s">
        <v>564</v>
      </c>
      <c r="C192" s="20" t="s">
        <v>625</v>
      </c>
      <c r="D192" s="21" t="s">
        <v>77</v>
      </c>
      <c r="E192" s="104"/>
      <c r="F192" s="18">
        <v>351204</v>
      </c>
      <c r="G192" s="19" t="s">
        <v>757</v>
      </c>
      <c r="H192" s="18">
        <v>12</v>
      </c>
      <c r="I192" s="18" t="s">
        <v>48</v>
      </c>
      <c r="J192" s="56"/>
    </row>
    <row r="193" spans="1:10" ht="15.75" customHeight="1" x14ac:dyDescent="0.2">
      <c r="A193" s="18" t="s">
        <v>44</v>
      </c>
      <c r="B193" s="19" t="s">
        <v>564</v>
      </c>
      <c r="C193" s="20" t="s">
        <v>625</v>
      </c>
      <c r="D193" s="21" t="s">
        <v>77</v>
      </c>
      <c r="E193" s="104"/>
      <c r="F193" s="18">
        <v>351109</v>
      </c>
      <c r="G193" s="19" t="s">
        <v>758</v>
      </c>
      <c r="H193" s="18">
        <v>15</v>
      </c>
      <c r="I193" s="18" t="s">
        <v>48</v>
      </c>
      <c r="J193" s="56"/>
    </row>
    <row r="194" spans="1:10" ht="15.75" customHeight="1" x14ac:dyDescent="0.2">
      <c r="A194" s="18" t="s">
        <v>44</v>
      </c>
      <c r="B194" s="19" t="s">
        <v>564</v>
      </c>
      <c r="C194" s="20" t="s">
        <v>625</v>
      </c>
      <c r="D194" s="21" t="s">
        <v>77</v>
      </c>
      <c r="E194" s="104"/>
      <c r="F194" s="18">
        <v>351110</v>
      </c>
      <c r="G194" s="19" t="s">
        <v>759</v>
      </c>
      <c r="H194" s="18">
        <v>10</v>
      </c>
      <c r="I194" s="18" t="s">
        <v>48</v>
      </c>
      <c r="J194" s="56"/>
    </row>
    <row r="195" spans="1:10" ht="15.75" customHeight="1" x14ac:dyDescent="0.2">
      <c r="A195" s="18" t="s">
        <v>44</v>
      </c>
      <c r="B195" s="19" t="s">
        <v>564</v>
      </c>
      <c r="C195" s="20" t="s">
        <v>625</v>
      </c>
      <c r="D195" s="21" t="s">
        <v>77</v>
      </c>
      <c r="E195" s="104"/>
      <c r="F195" s="18">
        <v>351205</v>
      </c>
      <c r="G195" s="19" t="s">
        <v>760</v>
      </c>
      <c r="H195" s="18">
        <v>10</v>
      </c>
      <c r="I195" s="18" t="s">
        <v>48</v>
      </c>
      <c r="J195" s="56"/>
    </row>
    <row r="196" spans="1:10" ht="15.75" customHeight="1" x14ac:dyDescent="0.2">
      <c r="A196" s="18" t="s">
        <v>44</v>
      </c>
      <c r="B196" s="19" t="s">
        <v>564</v>
      </c>
      <c r="C196" s="20" t="s">
        <v>625</v>
      </c>
      <c r="D196" s="21" t="s">
        <v>77</v>
      </c>
      <c r="E196" s="104"/>
      <c r="F196" s="18">
        <v>351111</v>
      </c>
      <c r="G196" s="19" t="s">
        <v>761</v>
      </c>
      <c r="H196" s="18">
        <v>10</v>
      </c>
      <c r="I196" s="18" t="s">
        <v>48</v>
      </c>
      <c r="J196" s="56"/>
    </row>
    <row r="197" spans="1:10" ht="15.75" customHeight="1" x14ac:dyDescent="0.2">
      <c r="A197" s="18" t="s">
        <v>44</v>
      </c>
      <c r="B197" s="19" t="s">
        <v>564</v>
      </c>
      <c r="C197" s="20" t="s">
        <v>625</v>
      </c>
      <c r="D197" s="21" t="s">
        <v>77</v>
      </c>
      <c r="E197" s="104"/>
      <c r="F197" s="18">
        <v>351112</v>
      </c>
      <c r="G197" s="19" t="s">
        <v>762</v>
      </c>
      <c r="H197" s="18">
        <v>8</v>
      </c>
      <c r="I197" s="18" t="s">
        <v>48</v>
      </c>
      <c r="J197" s="56"/>
    </row>
    <row r="198" spans="1:10" ht="15.75" customHeight="1" x14ac:dyDescent="0.2">
      <c r="A198" s="18" t="s">
        <v>44</v>
      </c>
      <c r="B198" s="19" t="s">
        <v>564</v>
      </c>
      <c r="C198" s="20" t="s">
        <v>625</v>
      </c>
      <c r="D198" s="21" t="s">
        <v>77</v>
      </c>
      <c r="E198" s="104"/>
      <c r="F198" s="18">
        <v>351113</v>
      </c>
      <c r="G198" s="19" t="s">
        <v>763</v>
      </c>
      <c r="H198" s="18">
        <v>8</v>
      </c>
      <c r="I198" s="18" t="s">
        <v>48</v>
      </c>
      <c r="J198" s="56"/>
    </row>
    <row r="199" spans="1:10" ht="15.75" customHeight="1" x14ac:dyDescent="0.2">
      <c r="A199" s="18" t="s">
        <v>44</v>
      </c>
      <c r="B199" s="19" t="s">
        <v>564</v>
      </c>
      <c r="C199" s="20" t="s">
        <v>625</v>
      </c>
      <c r="D199" s="21" t="s">
        <v>77</v>
      </c>
      <c r="E199" s="104"/>
      <c r="F199" s="18">
        <v>351114</v>
      </c>
      <c r="G199" s="19" t="s">
        <v>764</v>
      </c>
      <c r="H199" s="18">
        <v>8</v>
      </c>
      <c r="I199" s="18" t="s">
        <v>48</v>
      </c>
      <c r="J199" s="56"/>
    </row>
    <row r="200" spans="1:10" ht="15.75" customHeight="1" x14ac:dyDescent="0.2">
      <c r="A200" s="18" t="s">
        <v>44</v>
      </c>
      <c r="B200" s="19" t="s">
        <v>564</v>
      </c>
      <c r="C200" s="20" t="s">
        <v>625</v>
      </c>
      <c r="D200" s="21" t="s">
        <v>77</v>
      </c>
      <c r="E200" s="104"/>
      <c r="F200" s="18">
        <v>351115</v>
      </c>
      <c r="G200" s="19" t="s">
        <v>765</v>
      </c>
      <c r="H200" s="18">
        <v>1</v>
      </c>
      <c r="I200" s="18" t="s">
        <v>146</v>
      </c>
      <c r="J200" s="56"/>
    </row>
    <row r="201" spans="1:10" ht="15.75" customHeight="1" x14ac:dyDescent="0.2">
      <c r="A201" s="18" t="s">
        <v>44</v>
      </c>
      <c r="B201" s="19" t="s">
        <v>564</v>
      </c>
      <c r="C201" s="20" t="s">
        <v>625</v>
      </c>
      <c r="D201" s="21" t="s">
        <v>77</v>
      </c>
      <c r="E201" s="104"/>
      <c r="F201" s="18">
        <v>351116</v>
      </c>
      <c r="G201" s="19" t="s">
        <v>766</v>
      </c>
      <c r="H201" s="18">
        <v>1</v>
      </c>
      <c r="I201" s="18" t="s">
        <v>146</v>
      </c>
      <c r="J201" s="56"/>
    </row>
    <row r="202" spans="1:10" ht="15.75" customHeight="1" x14ac:dyDescent="0.2">
      <c r="A202" s="18" t="s">
        <v>44</v>
      </c>
      <c r="B202" s="19" t="s">
        <v>564</v>
      </c>
      <c r="C202" s="20" t="s">
        <v>625</v>
      </c>
      <c r="D202" s="21" t="s">
        <v>77</v>
      </c>
      <c r="E202" s="104"/>
      <c r="F202" s="18">
        <v>351117</v>
      </c>
      <c r="G202" s="19" t="s">
        <v>767</v>
      </c>
      <c r="H202" s="18">
        <v>1</v>
      </c>
      <c r="I202" s="18" t="s">
        <v>146</v>
      </c>
      <c r="J202" s="56"/>
    </row>
    <row r="203" spans="1:10" ht="15.75" customHeight="1" x14ac:dyDescent="0.2">
      <c r="A203" s="18" t="s">
        <v>44</v>
      </c>
      <c r="B203" s="19" t="s">
        <v>564</v>
      </c>
      <c r="C203" s="20" t="s">
        <v>625</v>
      </c>
      <c r="D203" s="21" t="s">
        <v>77</v>
      </c>
      <c r="E203" s="104"/>
      <c r="F203" s="18">
        <v>351107</v>
      </c>
      <c r="G203" s="19" t="s">
        <v>768</v>
      </c>
      <c r="H203" s="18">
        <v>1</v>
      </c>
      <c r="I203" s="18" t="s">
        <v>146</v>
      </c>
      <c r="J203" s="56"/>
    </row>
    <row r="204" spans="1:10" ht="15.75" customHeight="1" x14ac:dyDescent="0.2">
      <c r="A204" s="18" t="s">
        <v>44</v>
      </c>
      <c r="B204" s="19" t="s">
        <v>564</v>
      </c>
      <c r="C204" s="20" t="s">
        <v>625</v>
      </c>
      <c r="D204" s="21" t="s">
        <v>77</v>
      </c>
      <c r="E204" s="104"/>
      <c r="F204" s="18">
        <v>351219</v>
      </c>
      <c r="G204" s="19" t="s">
        <v>769</v>
      </c>
      <c r="H204" s="18">
        <v>1</v>
      </c>
      <c r="I204" s="18" t="s">
        <v>146</v>
      </c>
      <c r="J204" s="56"/>
    </row>
    <row r="205" spans="1:10" ht="15.75" customHeight="1" x14ac:dyDescent="0.2">
      <c r="A205" s="18" t="s">
        <v>44</v>
      </c>
      <c r="B205" s="19" t="s">
        <v>564</v>
      </c>
      <c r="C205" s="20" t="s">
        <v>625</v>
      </c>
      <c r="D205" s="21" t="s">
        <v>77</v>
      </c>
      <c r="E205" s="104"/>
      <c r="F205" s="18">
        <v>351220</v>
      </c>
      <c r="G205" s="19" t="s">
        <v>770</v>
      </c>
      <c r="H205" s="18">
        <v>1</v>
      </c>
      <c r="I205" s="18" t="s">
        <v>146</v>
      </c>
      <c r="J205" s="56"/>
    </row>
    <row r="206" spans="1:10" ht="15.75" customHeight="1" x14ac:dyDescent="0.2">
      <c r="A206" s="18" t="s">
        <v>44</v>
      </c>
      <c r="B206" s="19" t="s">
        <v>564</v>
      </c>
      <c r="C206" s="20" t="s">
        <v>625</v>
      </c>
      <c r="D206" s="21" t="s">
        <v>77</v>
      </c>
      <c r="E206" s="104"/>
      <c r="F206" s="18">
        <v>351221</v>
      </c>
      <c r="G206" s="19" t="s">
        <v>771</v>
      </c>
      <c r="H206" s="18">
        <v>1</v>
      </c>
      <c r="I206" s="18" t="s">
        <v>146</v>
      </c>
      <c r="J206" s="56"/>
    </row>
    <row r="207" spans="1:10" ht="15.75" customHeight="1" x14ac:dyDescent="0.2">
      <c r="A207" s="18" t="s">
        <v>44</v>
      </c>
      <c r="B207" s="19" t="s">
        <v>564</v>
      </c>
      <c r="C207" s="20" t="s">
        <v>625</v>
      </c>
      <c r="D207" s="21" t="s">
        <v>77</v>
      </c>
      <c r="E207" s="104"/>
      <c r="F207" s="18">
        <v>351222</v>
      </c>
      <c r="G207" s="19" t="s">
        <v>772</v>
      </c>
      <c r="H207" s="18">
        <v>1</v>
      </c>
      <c r="I207" s="18" t="s">
        <v>146</v>
      </c>
      <c r="J207" s="56"/>
    </row>
    <row r="208" spans="1:10" ht="15.75" customHeight="1" x14ac:dyDescent="0.2">
      <c r="A208" s="18" t="s">
        <v>44</v>
      </c>
      <c r="B208" s="19" t="s">
        <v>564</v>
      </c>
      <c r="C208" s="20" t="s">
        <v>625</v>
      </c>
      <c r="D208" s="21" t="s">
        <v>77</v>
      </c>
      <c r="E208" s="104"/>
      <c r="F208" s="18">
        <v>351206</v>
      </c>
      <c r="G208" s="19" t="s">
        <v>773</v>
      </c>
      <c r="H208" s="18">
        <v>1</v>
      </c>
      <c r="I208" s="18" t="s">
        <v>146</v>
      </c>
      <c r="J208" s="56"/>
    </row>
    <row r="209" spans="1:10" ht="15.75" customHeight="1" x14ac:dyDescent="0.2">
      <c r="A209" s="18" t="s">
        <v>44</v>
      </c>
      <c r="B209" s="19" t="s">
        <v>564</v>
      </c>
      <c r="C209" s="20" t="s">
        <v>625</v>
      </c>
      <c r="D209" s="21" t="s">
        <v>77</v>
      </c>
      <c r="E209" s="104"/>
      <c r="F209" s="18">
        <v>351207</v>
      </c>
      <c r="G209" s="19" t="s">
        <v>774</v>
      </c>
      <c r="H209" s="18">
        <v>1</v>
      </c>
      <c r="I209" s="18" t="s">
        <v>146</v>
      </c>
      <c r="J209" s="56"/>
    </row>
    <row r="210" spans="1:10" ht="15.75" customHeight="1" x14ac:dyDescent="0.2">
      <c r="A210" s="18" t="s">
        <v>44</v>
      </c>
      <c r="B210" s="19" t="s">
        <v>564</v>
      </c>
      <c r="C210" s="20" t="s">
        <v>625</v>
      </c>
      <c r="D210" s="21" t="s">
        <v>77</v>
      </c>
      <c r="E210" s="104"/>
      <c r="F210" s="18">
        <v>351208</v>
      </c>
      <c r="G210" s="19" t="s">
        <v>775</v>
      </c>
      <c r="H210" s="18">
        <v>1</v>
      </c>
      <c r="I210" s="18" t="s">
        <v>146</v>
      </c>
      <c r="J210" s="56"/>
    </row>
    <row r="211" spans="1:10" ht="15.75" customHeight="1" x14ac:dyDescent="0.2">
      <c r="A211" s="18" t="s">
        <v>44</v>
      </c>
      <c r="B211" s="19" t="s">
        <v>564</v>
      </c>
      <c r="C211" s="20" t="s">
        <v>625</v>
      </c>
      <c r="D211" s="21" t="s">
        <v>77</v>
      </c>
      <c r="E211" s="104"/>
      <c r="F211" s="18">
        <v>351209</v>
      </c>
      <c r="G211" s="19" t="s">
        <v>776</v>
      </c>
      <c r="H211" s="18">
        <v>1</v>
      </c>
      <c r="I211" s="18" t="s">
        <v>146</v>
      </c>
      <c r="J211" s="56"/>
    </row>
    <row r="212" spans="1:10" ht="15.75" customHeight="1" x14ac:dyDescent="0.2">
      <c r="A212" s="18" t="s">
        <v>44</v>
      </c>
      <c r="B212" s="19" t="s">
        <v>564</v>
      </c>
      <c r="C212" s="20" t="s">
        <v>625</v>
      </c>
      <c r="D212" s="21" t="s">
        <v>77</v>
      </c>
      <c r="E212" s="104"/>
      <c r="F212" s="18">
        <v>351210</v>
      </c>
      <c r="G212" s="19" t="s">
        <v>777</v>
      </c>
      <c r="H212" s="18">
        <v>1</v>
      </c>
      <c r="I212" s="18" t="s">
        <v>146</v>
      </c>
      <c r="J212" s="56"/>
    </row>
    <row r="213" spans="1:10" ht="15.75" customHeight="1" x14ac:dyDescent="0.2">
      <c r="A213" s="18" t="s">
        <v>44</v>
      </c>
      <c r="B213" s="19" t="s">
        <v>564</v>
      </c>
      <c r="C213" s="20" t="s">
        <v>625</v>
      </c>
      <c r="D213" s="21" t="s">
        <v>77</v>
      </c>
      <c r="E213" s="104"/>
      <c r="F213" s="18">
        <v>351211</v>
      </c>
      <c r="G213" s="19" t="s">
        <v>778</v>
      </c>
      <c r="H213" s="18">
        <v>1</v>
      </c>
      <c r="I213" s="18" t="s">
        <v>146</v>
      </c>
      <c r="J213" s="56"/>
    </row>
    <row r="214" spans="1:10" ht="15.75" customHeight="1" x14ac:dyDescent="0.2">
      <c r="A214" s="18" t="s">
        <v>44</v>
      </c>
      <c r="B214" s="19" t="s">
        <v>564</v>
      </c>
      <c r="C214" s="20" t="s">
        <v>625</v>
      </c>
      <c r="D214" s="21" t="s">
        <v>77</v>
      </c>
      <c r="E214" s="104"/>
      <c r="F214" s="18">
        <v>351212</v>
      </c>
      <c r="G214" s="19" t="s">
        <v>779</v>
      </c>
      <c r="H214" s="18">
        <v>1</v>
      </c>
      <c r="I214" s="18" t="s">
        <v>146</v>
      </c>
      <c r="J214" s="56"/>
    </row>
    <row r="215" spans="1:10" ht="15.75" customHeight="1" x14ac:dyDescent="0.2">
      <c r="A215" s="18" t="s">
        <v>44</v>
      </c>
      <c r="B215" s="19" t="s">
        <v>564</v>
      </c>
      <c r="C215" s="20" t="s">
        <v>625</v>
      </c>
      <c r="D215" s="21" t="s">
        <v>77</v>
      </c>
      <c r="E215" s="104"/>
      <c r="F215" s="18">
        <v>351213</v>
      </c>
      <c r="G215" s="19" t="s">
        <v>780</v>
      </c>
      <c r="H215" s="18">
        <v>1</v>
      </c>
      <c r="I215" s="18" t="s">
        <v>146</v>
      </c>
      <c r="J215" s="56"/>
    </row>
    <row r="216" spans="1:10" ht="15.75" customHeight="1" x14ac:dyDescent="0.2">
      <c r="A216" s="18" t="s">
        <v>44</v>
      </c>
      <c r="B216" s="19" t="s">
        <v>564</v>
      </c>
      <c r="C216" s="20" t="s">
        <v>625</v>
      </c>
      <c r="D216" s="21" t="s">
        <v>77</v>
      </c>
      <c r="E216" s="104"/>
      <c r="F216" s="18">
        <v>351214</v>
      </c>
      <c r="G216" s="19" t="s">
        <v>781</v>
      </c>
      <c r="H216" s="18">
        <v>1</v>
      </c>
      <c r="I216" s="18" t="s">
        <v>146</v>
      </c>
      <c r="J216" s="56"/>
    </row>
    <row r="217" spans="1:10" ht="15.75" customHeight="1" x14ac:dyDescent="0.2">
      <c r="A217" s="18" t="s">
        <v>44</v>
      </c>
      <c r="B217" s="19" t="s">
        <v>564</v>
      </c>
      <c r="C217" s="20" t="s">
        <v>625</v>
      </c>
      <c r="D217" s="21" t="s">
        <v>77</v>
      </c>
      <c r="E217" s="104"/>
      <c r="F217" s="18">
        <v>351215</v>
      </c>
      <c r="G217" s="19" t="s">
        <v>782</v>
      </c>
      <c r="H217" s="18">
        <v>1</v>
      </c>
      <c r="I217" s="18" t="s">
        <v>146</v>
      </c>
      <c r="J217" s="56"/>
    </row>
    <row r="218" spans="1:10" ht="15.75" customHeight="1" x14ac:dyDescent="0.2">
      <c r="A218" s="18" t="s">
        <v>44</v>
      </c>
      <c r="B218" s="19" t="s">
        <v>564</v>
      </c>
      <c r="C218" s="20" t="s">
        <v>625</v>
      </c>
      <c r="D218" s="21" t="s">
        <v>77</v>
      </c>
      <c r="E218" s="104"/>
      <c r="F218" s="18">
        <v>351216</v>
      </c>
      <c r="G218" s="19" t="s">
        <v>783</v>
      </c>
      <c r="H218" s="18">
        <v>1</v>
      </c>
      <c r="I218" s="18" t="s">
        <v>146</v>
      </c>
      <c r="J218" s="56"/>
    </row>
    <row r="219" spans="1:10" ht="15.75" customHeight="1" x14ac:dyDescent="0.2">
      <c r="A219" s="18" t="s">
        <v>44</v>
      </c>
      <c r="B219" s="19" t="s">
        <v>564</v>
      </c>
      <c r="C219" s="20" t="s">
        <v>625</v>
      </c>
      <c r="D219" s="21" t="s">
        <v>77</v>
      </c>
      <c r="E219" s="104"/>
      <c r="F219" s="18">
        <v>351217</v>
      </c>
      <c r="G219" s="19" t="s">
        <v>784</v>
      </c>
      <c r="H219" s="18">
        <v>1</v>
      </c>
      <c r="I219" s="18" t="s">
        <v>146</v>
      </c>
      <c r="J219" s="56"/>
    </row>
    <row r="220" spans="1:10" ht="15.75" customHeight="1" x14ac:dyDescent="0.2">
      <c r="A220" s="18" t="s">
        <v>44</v>
      </c>
      <c r="B220" s="19" t="s">
        <v>564</v>
      </c>
      <c r="C220" s="20" t="s">
        <v>625</v>
      </c>
      <c r="D220" s="21" t="s">
        <v>77</v>
      </c>
      <c r="E220" s="105"/>
      <c r="F220" s="18">
        <v>351218</v>
      </c>
      <c r="G220" s="19" t="s">
        <v>785</v>
      </c>
      <c r="H220" s="18">
        <v>1</v>
      </c>
      <c r="I220" s="18" t="s">
        <v>146</v>
      </c>
      <c r="J220" s="56"/>
    </row>
    <row r="221" spans="1:10" ht="15.75" customHeight="1" x14ac:dyDescent="0.2">
      <c r="A221" s="18" t="s">
        <v>44</v>
      </c>
      <c r="B221" s="19" t="s">
        <v>564</v>
      </c>
      <c r="C221" s="20" t="s">
        <v>625</v>
      </c>
      <c r="D221" s="21" t="s">
        <v>77</v>
      </c>
      <c r="E221" s="103" t="e" vm="111">
        <v>#VALUE!</v>
      </c>
      <c r="F221" s="18">
        <v>351103</v>
      </c>
      <c r="G221" s="19" t="s">
        <v>786</v>
      </c>
      <c r="H221" s="18">
        <v>30</v>
      </c>
      <c r="I221" s="18" t="s">
        <v>48</v>
      </c>
      <c r="J221" s="56"/>
    </row>
    <row r="222" spans="1:10" ht="15.75" customHeight="1" x14ac:dyDescent="0.2">
      <c r="A222" s="18" t="s">
        <v>44</v>
      </c>
      <c r="B222" s="19" t="s">
        <v>564</v>
      </c>
      <c r="C222" s="20" t="s">
        <v>625</v>
      </c>
      <c r="D222" s="21" t="s">
        <v>77</v>
      </c>
      <c r="E222" s="104"/>
      <c r="F222" s="18">
        <v>351104</v>
      </c>
      <c r="G222" s="19" t="s">
        <v>787</v>
      </c>
      <c r="H222" s="18">
        <v>30</v>
      </c>
      <c r="I222" s="18" t="s">
        <v>48</v>
      </c>
      <c r="J222" s="56"/>
    </row>
    <row r="223" spans="1:10" ht="15.75" customHeight="1" x14ac:dyDescent="0.2">
      <c r="A223" s="18" t="s">
        <v>44</v>
      </c>
      <c r="B223" s="19" t="s">
        <v>564</v>
      </c>
      <c r="C223" s="20" t="s">
        <v>625</v>
      </c>
      <c r="D223" s="21" t="s">
        <v>77</v>
      </c>
      <c r="E223" s="104"/>
      <c r="F223" s="18">
        <v>351105</v>
      </c>
      <c r="G223" s="19" t="s">
        <v>788</v>
      </c>
      <c r="H223" s="18">
        <v>17</v>
      </c>
      <c r="I223" s="18" t="s">
        <v>48</v>
      </c>
      <c r="J223" s="56"/>
    </row>
    <row r="224" spans="1:10" ht="15.75" customHeight="1" x14ac:dyDescent="0.2">
      <c r="A224" s="18" t="s">
        <v>44</v>
      </c>
      <c r="B224" s="19" t="s">
        <v>564</v>
      </c>
      <c r="C224" s="20" t="s">
        <v>625</v>
      </c>
      <c r="D224" s="21" t="s">
        <v>77</v>
      </c>
      <c r="E224" s="104"/>
      <c r="F224" s="18">
        <v>351106</v>
      </c>
      <c r="G224" s="19" t="s">
        <v>789</v>
      </c>
      <c r="H224" s="18">
        <v>10</v>
      </c>
      <c r="I224" s="18" t="s">
        <v>48</v>
      </c>
      <c r="J224" s="56"/>
    </row>
    <row r="225" spans="1:10" ht="15.75" customHeight="1" x14ac:dyDescent="0.2">
      <c r="A225" s="18" t="s">
        <v>44</v>
      </c>
      <c r="B225" s="19" t="s">
        <v>564</v>
      </c>
      <c r="C225" s="20" t="s">
        <v>625</v>
      </c>
      <c r="D225" s="21" t="s">
        <v>77</v>
      </c>
      <c r="E225" s="105"/>
      <c r="F225" s="18">
        <v>351118</v>
      </c>
      <c r="G225" s="19" t="s">
        <v>790</v>
      </c>
      <c r="H225" s="18">
        <v>10</v>
      </c>
      <c r="I225" s="18" t="s">
        <v>48</v>
      </c>
      <c r="J225" s="56"/>
    </row>
    <row r="226" spans="1:10" ht="19.5" customHeight="1" x14ac:dyDescent="0.2">
      <c r="A226" s="18" t="s">
        <v>44</v>
      </c>
      <c r="B226" s="19" t="s">
        <v>564</v>
      </c>
      <c r="C226" s="20" t="s">
        <v>625</v>
      </c>
      <c r="D226" s="21" t="s">
        <v>77</v>
      </c>
      <c r="E226" s="103" t="e" vm="112">
        <v>#VALUE!</v>
      </c>
      <c r="F226" s="18">
        <v>351602</v>
      </c>
      <c r="G226" s="19" t="s">
        <v>791</v>
      </c>
      <c r="H226" s="18">
        <v>31</v>
      </c>
      <c r="I226" s="18" t="s">
        <v>48</v>
      </c>
      <c r="J226" s="56"/>
    </row>
    <row r="227" spans="1:10" ht="19.5" customHeight="1" x14ac:dyDescent="0.2">
      <c r="A227" s="18" t="s">
        <v>44</v>
      </c>
      <c r="B227" s="19" t="s">
        <v>564</v>
      </c>
      <c r="C227" s="20" t="s">
        <v>625</v>
      </c>
      <c r="D227" s="21" t="s">
        <v>77</v>
      </c>
      <c r="E227" s="104"/>
      <c r="F227" s="18">
        <v>351603</v>
      </c>
      <c r="G227" s="19" t="s">
        <v>792</v>
      </c>
      <c r="H227" s="18">
        <v>20</v>
      </c>
      <c r="I227" s="18" t="s">
        <v>48</v>
      </c>
      <c r="J227" s="56"/>
    </row>
    <row r="228" spans="1:10" ht="19.5" customHeight="1" x14ac:dyDescent="0.2">
      <c r="A228" s="18" t="s">
        <v>44</v>
      </c>
      <c r="B228" s="19" t="s">
        <v>564</v>
      </c>
      <c r="C228" s="20" t="s">
        <v>625</v>
      </c>
      <c r="D228" s="21" t="s">
        <v>77</v>
      </c>
      <c r="E228" s="105"/>
      <c r="F228" s="18">
        <v>351604</v>
      </c>
      <c r="G228" s="19" t="s">
        <v>793</v>
      </c>
      <c r="H228" s="18">
        <v>20</v>
      </c>
      <c r="I228" s="18" t="s">
        <v>48</v>
      </c>
      <c r="J228" s="56"/>
    </row>
    <row r="229" spans="1:10" ht="18.75" customHeight="1" x14ac:dyDescent="0.2">
      <c r="A229" s="18" t="s">
        <v>44</v>
      </c>
      <c r="B229" s="19" t="s">
        <v>564</v>
      </c>
      <c r="C229" s="20" t="s">
        <v>625</v>
      </c>
      <c r="D229" s="21" t="s">
        <v>77</v>
      </c>
      <c r="E229" s="103" t="e" vm="113">
        <v>#VALUE!</v>
      </c>
      <c r="F229" s="18">
        <v>351502</v>
      </c>
      <c r="G229" s="19" t="s">
        <v>794</v>
      </c>
      <c r="H229" s="18">
        <v>25</v>
      </c>
      <c r="I229" s="18" t="s">
        <v>48</v>
      </c>
      <c r="J229" s="56"/>
    </row>
    <row r="230" spans="1:10" ht="18.75" customHeight="1" x14ac:dyDescent="0.2">
      <c r="A230" s="18" t="s">
        <v>44</v>
      </c>
      <c r="B230" s="19" t="s">
        <v>564</v>
      </c>
      <c r="C230" s="20" t="s">
        <v>625</v>
      </c>
      <c r="D230" s="21" t="s">
        <v>77</v>
      </c>
      <c r="E230" s="104"/>
      <c r="F230" s="18">
        <v>351503</v>
      </c>
      <c r="G230" s="19" t="s">
        <v>795</v>
      </c>
      <c r="H230" s="18">
        <v>20</v>
      </c>
      <c r="I230" s="18" t="s">
        <v>48</v>
      </c>
      <c r="J230" s="56"/>
    </row>
    <row r="231" spans="1:10" ht="18.75" customHeight="1" x14ac:dyDescent="0.2">
      <c r="A231" s="18" t="s">
        <v>44</v>
      </c>
      <c r="B231" s="19" t="s">
        <v>564</v>
      </c>
      <c r="C231" s="20" t="s">
        <v>625</v>
      </c>
      <c r="D231" s="21" t="s">
        <v>77</v>
      </c>
      <c r="E231" s="105"/>
      <c r="F231" s="18">
        <v>351504</v>
      </c>
      <c r="G231" s="19" t="s">
        <v>796</v>
      </c>
      <c r="H231" s="18">
        <v>10</v>
      </c>
      <c r="I231" s="18" t="s">
        <v>48</v>
      </c>
      <c r="J231" s="56"/>
    </row>
    <row r="232" spans="1:10" ht="15.75" customHeight="1" x14ac:dyDescent="0.2">
      <c r="A232" s="18" t="s">
        <v>44</v>
      </c>
      <c r="B232" s="19" t="s">
        <v>564</v>
      </c>
      <c r="C232" s="20" t="s">
        <v>625</v>
      </c>
      <c r="D232" s="21" t="s">
        <v>77</v>
      </c>
      <c r="E232" s="103" t="e" vm="114">
        <v>#VALUE!</v>
      </c>
      <c r="F232" s="18">
        <v>350802</v>
      </c>
      <c r="G232" s="19" t="s">
        <v>797</v>
      </c>
      <c r="H232" s="18">
        <v>50</v>
      </c>
      <c r="I232" s="18" t="s">
        <v>48</v>
      </c>
      <c r="J232" s="56"/>
    </row>
    <row r="233" spans="1:10" ht="15.75" customHeight="1" x14ac:dyDescent="0.2">
      <c r="A233" s="18" t="s">
        <v>44</v>
      </c>
      <c r="B233" s="19" t="s">
        <v>564</v>
      </c>
      <c r="C233" s="20" t="s">
        <v>625</v>
      </c>
      <c r="D233" s="21" t="s">
        <v>77</v>
      </c>
      <c r="E233" s="104"/>
      <c r="F233" s="18">
        <v>350803</v>
      </c>
      <c r="G233" s="19" t="s">
        <v>798</v>
      </c>
      <c r="H233" s="18">
        <v>30</v>
      </c>
      <c r="I233" s="18" t="s">
        <v>48</v>
      </c>
      <c r="J233" s="56"/>
    </row>
    <row r="234" spans="1:10" ht="15.75" customHeight="1" x14ac:dyDescent="0.2">
      <c r="A234" s="18" t="s">
        <v>44</v>
      </c>
      <c r="B234" s="19" t="s">
        <v>564</v>
      </c>
      <c r="C234" s="20" t="s">
        <v>625</v>
      </c>
      <c r="D234" s="21" t="s">
        <v>77</v>
      </c>
      <c r="E234" s="104"/>
      <c r="F234" s="18">
        <v>350804</v>
      </c>
      <c r="G234" s="19" t="s">
        <v>799</v>
      </c>
      <c r="H234" s="18">
        <v>15</v>
      </c>
      <c r="I234" s="18" t="s">
        <v>48</v>
      </c>
      <c r="J234" s="56"/>
    </row>
    <row r="235" spans="1:10" ht="15.75" customHeight="1" x14ac:dyDescent="0.2">
      <c r="A235" s="18" t="s">
        <v>44</v>
      </c>
      <c r="B235" s="19" t="s">
        <v>564</v>
      </c>
      <c r="C235" s="20" t="s">
        <v>625</v>
      </c>
      <c r="D235" s="21" t="s">
        <v>77</v>
      </c>
      <c r="E235" s="104"/>
      <c r="F235" s="18">
        <v>350805</v>
      </c>
      <c r="G235" s="19" t="s">
        <v>800</v>
      </c>
      <c r="H235" s="18">
        <v>15</v>
      </c>
      <c r="I235" s="18" t="s">
        <v>48</v>
      </c>
      <c r="J235" s="56"/>
    </row>
    <row r="236" spans="1:10" ht="15.75" customHeight="1" x14ac:dyDescent="0.2">
      <c r="A236" s="18" t="s">
        <v>44</v>
      </c>
      <c r="B236" s="19" t="s">
        <v>564</v>
      </c>
      <c r="C236" s="20" t="s">
        <v>625</v>
      </c>
      <c r="D236" s="21" t="s">
        <v>77</v>
      </c>
      <c r="E236" s="104"/>
      <c r="F236" s="18">
        <v>350806</v>
      </c>
      <c r="G236" s="19" t="s">
        <v>801</v>
      </c>
      <c r="H236" s="18">
        <v>10</v>
      </c>
      <c r="I236" s="18" t="s">
        <v>48</v>
      </c>
      <c r="J236" s="56"/>
    </row>
    <row r="237" spans="1:10" ht="15.75" customHeight="1" x14ac:dyDescent="0.2">
      <c r="A237" s="18" t="s">
        <v>44</v>
      </c>
      <c r="B237" s="19" t="s">
        <v>564</v>
      </c>
      <c r="C237" s="20" t="s">
        <v>625</v>
      </c>
      <c r="D237" s="21" t="s">
        <v>77</v>
      </c>
      <c r="E237" s="105"/>
      <c r="F237" s="18">
        <v>350807</v>
      </c>
      <c r="G237" s="19" t="s">
        <v>802</v>
      </c>
      <c r="H237" s="18">
        <v>10</v>
      </c>
      <c r="I237" s="18" t="s">
        <v>48</v>
      </c>
      <c r="J237" s="56"/>
    </row>
    <row r="238" spans="1:10" ht="15.75" customHeight="1" x14ac:dyDescent="0.2">
      <c r="A238" s="18" t="s">
        <v>44</v>
      </c>
      <c r="B238" s="19" t="s">
        <v>564</v>
      </c>
      <c r="C238" s="20" t="s">
        <v>625</v>
      </c>
      <c r="D238" s="21" t="s">
        <v>77</v>
      </c>
      <c r="E238" s="103" t="e" vm="115">
        <v>#VALUE!</v>
      </c>
      <c r="F238" s="18">
        <v>351402</v>
      </c>
      <c r="G238" s="19" t="s">
        <v>803</v>
      </c>
      <c r="H238" s="18">
        <v>30</v>
      </c>
      <c r="I238" s="18" t="s">
        <v>48</v>
      </c>
      <c r="J238" s="56"/>
    </row>
    <row r="239" spans="1:10" ht="15.75" customHeight="1" x14ac:dyDescent="0.2">
      <c r="A239" s="18" t="s">
        <v>44</v>
      </c>
      <c r="B239" s="19" t="s">
        <v>564</v>
      </c>
      <c r="C239" s="20" t="s">
        <v>625</v>
      </c>
      <c r="D239" s="21" t="s">
        <v>77</v>
      </c>
      <c r="E239" s="104"/>
      <c r="F239" s="18">
        <v>351403</v>
      </c>
      <c r="G239" s="19" t="s">
        <v>804</v>
      </c>
      <c r="H239" s="18">
        <v>40</v>
      </c>
      <c r="I239" s="18" t="s">
        <v>48</v>
      </c>
      <c r="J239" s="56"/>
    </row>
    <row r="240" spans="1:10" ht="15.75" customHeight="1" x14ac:dyDescent="0.2">
      <c r="A240" s="18" t="s">
        <v>44</v>
      </c>
      <c r="B240" s="19" t="s">
        <v>564</v>
      </c>
      <c r="C240" s="20" t="s">
        <v>625</v>
      </c>
      <c r="D240" s="21" t="s">
        <v>77</v>
      </c>
      <c r="E240" s="105"/>
      <c r="F240" s="18">
        <v>351404</v>
      </c>
      <c r="G240" s="19" t="s">
        <v>805</v>
      </c>
      <c r="H240" s="18">
        <v>50</v>
      </c>
      <c r="I240" s="18" t="s">
        <v>48</v>
      </c>
      <c r="J240" s="56"/>
    </row>
    <row r="241" spans="1:10" ht="17.25" customHeight="1" x14ac:dyDescent="0.2">
      <c r="A241" s="18" t="s">
        <v>44</v>
      </c>
      <c r="B241" s="19" t="s">
        <v>564</v>
      </c>
      <c r="C241" s="20" t="s">
        <v>625</v>
      </c>
      <c r="D241" s="21" t="s">
        <v>77</v>
      </c>
      <c r="E241" s="103" t="e" vm="116">
        <v>#VALUE!</v>
      </c>
      <c r="F241" s="18">
        <v>351411</v>
      </c>
      <c r="G241" s="19" t="s">
        <v>806</v>
      </c>
      <c r="H241" s="18">
        <v>34</v>
      </c>
      <c r="I241" s="18" t="s">
        <v>48</v>
      </c>
      <c r="J241" s="56"/>
    </row>
    <row r="242" spans="1:10" ht="17.25" customHeight="1" x14ac:dyDescent="0.2">
      <c r="A242" s="18" t="s">
        <v>44</v>
      </c>
      <c r="B242" s="19" t="s">
        <v>564</v>
      </c>
      <c r="C242" s="20" t="s">
        <v>625</v>
      </c>
      <c r="D242" s="21" t="s">
        <v>77</v>
      </c>
      <c r="E242" s="104"/>
      <c r="F242" s="18">
        <v>351412</v>
      </c>
      <c r="G242" s="19" t="s">
        <v>807</v>
      </c>
      <c r="H242" s="18">
        <v>25</v>
      </c>
      <c r="I242" s="18" t="s">
        <v>48</v>
      </c>
      <c r="J242" s="56"/>
    </row>
    <row r="243" spans="1:10" ht="17.25" customHeight="1" x14ac:dyDescent="0.2">
      <c r="A243" s="18" t="s">
        <v>44</v>
      </c>
      <c r="B243" s="19" t="s">
        <v>564</v>
      </c>
      <c r="C243" s="20" t="s">
        <v>625</v>
      </c>
      <c r="D243" s="21" t="s">
        <v>77</v>
      </c>
      <c r="E243" s="105"/>
      <c r="F243" s="18">
        <v>351413</v>
      </c>
      <c r="G243" s="19" t="s">
        <v>808</v>
      </c>
      <c r="H243" s="18">
        <v>15</v>
      </c>
      <c r="I243" s="18" t="s">
        <v>48</v>
      </c>
      <c r="J243" s="56"/>
    </row>
    <row r="244" spans="1:10" ht="15.75" customHeight="1" x14ac:dyDescent="0.2">
      <c r="A244" s="40"/>
      <c r="B244" s="41"/>
      <c r="C244" s="41"/>
      <c r="D244" s="42"/>
      <c r="E244" s="80"/>
      <c r="F244" s="42"/>
      <c r="G244" s="42"/>
      <c r="H244" s="41"/>
      <c r="I244" s="42"/>
    </row>
  </sheetData>
  <mergeCells count="28">
    <mergeCell ref="E241:E243"/>
    <mergeCell ref="E221:E225"/>
    <mergeCell ref="E226:E228"/>
    <mergeCell ref="E133:E135"/>
    <mergeCell ref="E190:E220"/>
    <mergeCell ref="B1:I1"/>
    <mergeCell ref="E238:E240"/>
    <mergeCell ref="E75:E85"/>
    <mergeCell ref="E232:E237"/>
    <mergeCell ref="E49:E54"/>
    <mergeCell ref="E67:E69"/>
    <mergeCell ref="E112:E120"/>
    <mergeCell ref="E177:E188"/>
    <mergeCell ref="E136:E146"/>
    <mergeCell ref="E61:E66"/>
    <mergeCell ref="E229:E231"/>
    <mergeCell ref="E121:E132"/>
    <mergeCell ref="E86:E96"/>
    <mergeCell ref="E24:E33"/>
    <mergeCell ref="E147:E176"/>
    <mergeCell ref="E34:E39"/>
    <mergeCell ref="E103:E111"/>
    <mergeCell ref="E3:E23"/>
    <mergeCell ref="E70:E74"/>
    <mergeCell ref="E40:E48"/>
    <mergeCell ref="E97:E99"/>
    <mergeCell ref="E100:E102"/>
    <mergeCell ref="E55:E60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243" xr:uid="{00000000-0002-0000-0B00-000000000000}">
      <formula1>0</formula1>
    </dataValidation>
  </dataValidations>
  <hyperlinks>
    <hyperlink ref="A1" location="'Menú por Categoría'!C14" display="Volver al menú principal" xr:uid="{00000000-0004-0000-0B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J56"/>
  <sheetViews>
    <sheetView showGridLines="0" zoomScale="70" zoomScaleNormal="70" workbookViewId="0">
      <pane ySplit="2" topLeftCell="A3" activePane="bottomLeft" state="frozen"/>
      <selection pane="bottomLeft" activeCell="G5" sqref="G5"/>
    </sheetView>
  </sheetViews>
  <sheetFormatPr baseColWidth="10" defaultColWidth="16" defaultRowHeight="15.75" customHeight="1" x14ac:dyDescent="0.2"/>
  <cols>
    <col min="1" max="1" width="22.5" style="10" customWidth="1"/>
    <col min="2" max="2" width="24.332031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6384" width="16" style="10"/>
  </cols>
  <sheetData>
    <row r="1" spans="1:10" ht="66.7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54" customHeight="1" x14ac:dyDescent="0.2">
      <c r="A3" s="18" t="s">
        <v>44</v>
      </c>
      <c r="B3" s="20" t="s">
        <v>809</v>
      </c>
      <c r="C3" s="20" t="s">
        <v>810</v>
      </c>
      <c r="D3" s="21" t="s">
        <v>811</v>
      </c>
      <c r="E3" s="76" t="e" vm="117">
        <v>#VALUE!</v>
      </c>
      <c r="F3" s="18">
        <v>344101</v>
      </c>
      <c r="G3" s="19" t="s">
        <v>812</v>
      </c>
      <c r="H3" s="18">
        <v>10</v>
      </c>
      <c r="I3" s="18" t="s">
        <v>146</v>
      </c>
      <c r="J3" s="56"/>
    </row>
    <row r="4" spans="1:10" ht="54" customHeight="1" x14ac:dyDescent="0.2">
      <c r="A4" s="18" t="s">
        <v>44</v>
      </c>
      <c r="B4" s="20" t="s">
        <v>809</v>
      </c>
      <c r="C4" s="20" t="s">
        <v>810</v>
      </c>
      <c r="D4" s="21" t="s">
        <v>813</v>
      </c>
      <c r="E4" s="37" t="e" vm="118">
        <v>#VALUE!</v>
      </c>
      <c r="F4" s="18">
        <v>344102</v>
      </c>
      <c r="G4" s="19" t="s">
        <v>814</v>
      </c>
      <c r="H4" s="18">
        <v>10</v>
      </c>
      <c r="I4" s="18" t="s">
        <v>146</v>
      </c>
      <c r="J4" s="56"/>
    </row>
    <row r="5" spans="1:10" ht="55.5" customHeight="1" x14ac:dyDescent="0.2">
      <c r="A5" s="18" t="s">
        <v>44</v>
      </c>
      <c r="B5" s="20" t="s">
        <v>809</v>
      </c>
      <c r="C5" s="20" t="s">
        <v>810</v>
      </c>
      <c r="D5" s="21" t="s">
        <v>811</v>
      </c>
      <c r="E5" s="76" t="e" vm="119">
        <v>#VALUE!</v>
      </c>
      <c r="F5" s="18">
        <v>344103</v>
      </c>
      <c r="G5" s="19" t="s">
        <v>815</v>
      </c>
      <c r="H5" s="18">
        <v>6</v>
      </c>
      <c r="I5" s="18" t="s">
        <v>146</v>
      </c>
      <c r="J5" s="56"/>
    </row>
    <row r="6" spans="1:10" ht="63" customHeight="1" x14ac:dyDescent="0.2">
      <c r="A6" s="18" t="s">
        <v>44</v>
      </c>
      <c r="B6" s="20" t="s">
        <v>809</v>
      </c>
      <c r="C6" s="20" t="s">
        <v>810</v>
      </c>
      <c r="D6" s="21" t="s">
        <v>813</v>
      </c>
      <c r="E6" s="23" t="e" vm="120">
        <v>#VALUE!</v>
      </c>
      <c r="F6" s="18">
        <v>344104</v>
      </c>
      <c r="G6" s="19" t="s">
        <v>816</v>
      </c>
      <c r="H6" s="18">
        <v>6</v>
      </c>
      <c r="I6" s="18" t="s">
        <v>146</v>
      </c>
      <c r="J6" s="56"/>
    </row>
    <row r="7" spans="1:10" ht="47.25" customHeight="1" x14ac:dyDescent="0.2">
      <c r="A7" s="18" t="s">
        <v>44</v>
      </c>
      <c r="B7" s="20" t="s">
        <v>809</v>
      </c>
      <c r="C7" s="20" t="s">
        <v>810</v>
      </c>
      <c r="D7" s="21" t="s">
        <v>817</v>
      </c>
      <c r="E7" s="76" t="e" vm="121">
        <v>#VALUE!</v>
      </c>
      <c r="F7" s="18">
        <v>344109</v>
      </c>
      <c r="G7" s="19" t="s">
        <v>818</v>
      </c>
      <c r="H7" s="18">
        <v>8</v>
      </c>
      <c r="I7" s="18" t="s">
        <v>48</v>
      </c>
      <c r="J7" s="56"/>
    </row>
    <row r="8" spans="1:10" ht="47.25" customHeight="1" x14ac:dyDescent="0.2">
      <c r="A8" s="18" t="s">
        <v>44</v>
      </c>
      <c r="B8" s="20" t="s">
        <v>809</v>
      </c>
      <c r="C8" s="20" t="s">
        <v>810</v>
      </c>
      <c r="D8" s="21" t="s">
        <v>817</v>
      </c>
      <c r="E8" s="23" t="e" vm="122">
        <v>#VALUE!</v>
      </c>
      <c r="F8" s="18">
        <v>344112</v>
      </c>
      <c r="G8" s="19" t="s">
        <v>819</v>
      </c>
      <c r="H8" s="18">
        <v>10</v>
      </c>
      <c r="I8" s="18" t="s">
        <v>48</v>
      </c>
      <c r="J8" s="56"/>
    </row>
    <row r="9" spans="1:10" ht="60" customHeight="1" x14ac:dyDescent="0.2">
      <c r="A9" s="18" t="s">
        <v>44</v>
      </c>
      <c r="B9" s="20" t="s">
        <v>809</v>
      </c>
      <c r="C9" s="20" t="s">
        <v>810</v>
      </c>
      <c r="D9" s="21" t="s">
        <v>820</v>
      </c>
      <c r="E9" s="73" t="e" vm="123">
        <v>#VALUE!</v>
      </c>
      <c r="F9" s="18">
        <v>344117</v>
      </c>
      <c r="G9" s="19" t="s">
        <v>821</v>
      </c>
      <c r="H9" s="18">
        <v>10</v>
      </c>
      <c r="I9" s="18" t="s">
        <v>48</v>
      </c>
      <c r="J9" s="56"/>
    </row>
    <row r="10" spans="1:10" ht="33" customHeight="1" x14ac:dyDescent="0.2">
      <c r="A10" s="18" t="s">
        <v>44</v>
      </c>
      <c r="B10" s="20" t="s">
        <v>809</v>
      </c>
      <c r="C10" s="20" t="s">
        <v>810</v>
      </c>
      <c r="D10" s="21" t="s">
        <v>822</v>
      </c>
      <c r="E10" s="103" t="e" vm="124">
        <v>#VALUE!</v>
      </c>
      <c r="F10" s="18">
        <v>344901</v>
      </c>
      <c r="G10" s="19" t="s">
        <v>823</v>
      </c>
      <c r="H10" s="18">
        <v>10</v>
      </c>
      <c r="I10" s="18" t="s">
        <v>48</v>
      </c>
      <c r="J10" s="56"/>
    </row>
    <row r="11" spans="1:10" ht="33" customHeight="1" x14ac:dyDescent="0.2">
      <c r="A11" s="18" t="s">
        <v>44</v>
      </c>
      <c r="B11" s="20" t="s">
        <v>809</v>
      </c>
      <c r="C11" s="20" t="s">
        <v>810</v>
      </c>
      <c r="D11" s="21" t="s">
        <v>824</v>
      </c>
      <c r="E11" s="122"/>
      <c r="F11" s="18">
        <v>344900</v>
      </c>
      <c r="G11" s="19" t="s">
        <v>825</v>
      </c>
      <c r="H11" s="18">
        <v>10</v>
      </c>
      <c r="I11" s="18" t="s">
        <v>48</v>
      </c>
      <c r="J11" s="56"/>
    </row>
    <row r="12" spans="1:10" ht="43.5" customHeight="1" x14ac:dyDescent="0.2">
      <c r="A12" s="18" t="s">
        <v>44</v>
      </c>
      <c r="B12" s="20" t="s">
        <v>809</v>
      </c>
      <c r="C12" s="20" t="s">
        <v>810</v>
      </c>
      <c r="D12" s="21" t="s">
        <v>826</v>
      </c>
      <c r="E12" s="78" t="e" vm="125">
        <v>#VALUE!</v>
      </c>
      <c r="F12" s="18">
        <v>344113</v>
      </c>
      <c r="G12" s="19" t="s">
        <v>827</v>
      </c>
      <c r="H12" s="18">
        <v>5</v>
      </c>
      <c r="I12" s="18" t="s">
        <v>48</v>
      </c>
      <c r="J12" s="56"/>
    </row>
    <row r="13" spans="1:10" ht="43.5" customHeight="1" x14ac:dyDescent="0.2">
      <c r="A13" s="18" t="s">
        <v>44</v>
      </c>
      <c r="B13" s="20" t="s">
        <v>809</v>
      </c>
      <c r="C13" s="20" t="s">
        <v>810</v>
      </c>
      <c r="D13" s="21" t="s">
        <v>828</v>
      </c>
      <c r="E13" s="23" t="e" vm="126">
        <v>#VALUE!</v>
      </c>
      <c r="F13" s="18">
        <v>344114</v>
      </c>
      <c r="G13" s="19" t="s">
        <v>829</v>
      </c>
      <c r="H13" s="18">
        <v>5</v>
      </c>
      <c r="I13" s="18" t="s">
        <v>48</v>
      </c>
      <c r="J13" s="56"/>
    </row>
    <row r="14" spans="1:10" ht="42.75" customHeight="1" x14ac:dyDescent="0.2">
      <c r="A14" s="18" t="s">
        <v>44</v>
      </c>
      <c r="B14" s="20" t="s">
        <v>809</v>
      </c>
      <c r="C14" s="20" t="s">
        <v>810</v>
      </c>
      <c r="D14" s="21" t="s">
        <v>826</v>
      </c>
      <c r="E14" s="76" t="e" vm="127">
        <v>#VALUE!</v>
      </c>
      <c r="F14" s="18">
        <v>344115</v>
      </c>
      <c r="G14" s="19" t="s">
        <v>830</v>
      </c>
      <c r="H14" s="18">
        <v>5</v>
      </c>
      <c r="I14" s="18" t="s">
        <v>48</v>
      </c>
      <c r="J14" s="56"/>
    </row>
    <row r="15" spans="1:10" ht="43.5" customHeight="1" x14ac:dyDescent="0.2">
      <c r="A15" s="18" t="s">
        <v>44</v>
      </c>
      <c r="B15" s="20" t="s">
        <v>809</v>
      </c>
      <c r="C15" s="20" t="s">
        <v>810</v>
      </c>
      <c r="D15" s="21" t="s">
        <v>831</v>
      </c>
      <c r="E15" s="76" t="e" vm="128">
        <v>#VALUE!</v>
      </c>
      <c r="F15" s="18">
        <v>344105</v>
      </c>
      <c r="G15" s="19" t="s">
        <v>832</v>
      </c>
      <c r="H15" s="18">
        <v>10</v>
      </c>
      <c r="I15" s="18" t="s">
        <v>48</v>
      </c>
      <c r="J15" s="56"/>
    </row>
    <row r="16" spans="1:10" ht="43.5" customHeight="1" x14ac:dyDescent="0.2">
      <c r="A16" s="18" t="s">
        <v>44</v>
      </c>
      <c r="B16" s="20" t="s">
        <v>809</v>
      </c>
      <c r="C16" s="20" t="s">
        <v>810</v>
      </c>
      <c r="D16" s="21" t="s">
        <v>831</v>
      </c>
      <c r="E16" s="23" t="e" vm="129">
        <v>#VALUE!</v>
      </c>
      <c r="F16" s="18">
        <v>344106</v>
      </c>
      <c r="G16" s="19" t="s">
        <v>833</v>
      </c>
      <c r="H16" s="18">
        <v>10</v>
      </c>
      <c r="I16" s="18" t="s">
        <v>48</v>
      </c>
      <c r="J16" s="56"/>
    </row>
    <row r="17" spans="1:10" ht="43.5" customHeight="1" x14ac:dyDescent="0.2">
      <c r="A17" s="18" t="s">
        <v>44</v>
      </c>
      <c r="B17" s="20" t="s">
        <v>809</v>
      </c>
      <c r="C17" s="20" t="s">
        <v>810</v>
      </c>
      <c r="D17" s="21" t="s">
        <v>834</v>
      </c>
      <c r="E17" s="76" t="e" vm="130">
        <v>#VALUE!</v>
      </c>
      <c r="F17" s="18">
        <v>344107</v>
      </c>
      <c r="G17" s="19" t="s">
        <v>835</v>
      </c>
      <c r="H17" s="18">
        <v>10</v>
      </c>
      <c r="I17" s="18" t="s">
        <v>48</v>
      </c>
      <c r="J17" s="56"/>
    </row>
    <row r="18" spans="1:10" ht="43.5" customHeight="1" x14ac:dyDescent="0.2">
      <c r="A18" s="18" t="s">
        <v>44</v>
      </c>
      <c r="B18" s="20" t="s">
        <v>809</v>
      </c>
      <c r="C18" s="20" t="s">
        <v>810</v>
      </c>
      <c r="D18" s="21" t="s">
        <v>834</v>
      </c>
      <c r="E18" s="76" t="e" vm="131">
        <v>#VALUE!</v>
      </c>
      <c r="F18" s="18">
        <v>344108</v>
      </c>
      <c r="G18" s="19" t="s">
        <v>836</v>
      </c>
      <c r="H18" s="18">
        <v>10</v>
      </c>
      <c r="I18" s="18" t="s">
        <v>48</v>
      </c>
      <c r="J18" s="56"/>
    </row>
    <row r="19" spans="1:10" ht="42.75" customHeight="1" x14ac:dyDescent="0.2">
      <c r="A19" s="18" t="s">
        <v>44</v>
      </c>
      <c r="B19" s="20" t="s">
        <v>809</v>
      </c>
      <c r="C19" s="20" t="s">
        <v>837</v>
      </c>
      <c r="D19" s="21" t="s">
        <v>838</v>
      </c>
      <c r="E19" s="76" t="e" vm="132">
        <v>#VALUE!</v>
      </c>
      <c r="F19" s="18">
        <v>41001</v>
      </c>
      <c r="G19" s="19" t="s">
        <v>839</v>
      </c>
      <c r="H19" s="18">
        <v>6</v>
      </c>
      <c r="I19" s="18" t="s">
        <v>146</v>
      </c>
      <c r="J19" s="56"/>
    </row>
    <row r="20" spans="1:10" ht="36" customHeight="1" x14ac:dyDescent="0.2">
      <c r="A20" s="18" t="s">
        <v>44</v>
      </c>
      <c r="B20" s="20" t="s">
        <v>809</v>
      </c>
      <c r="C20" s="20" t="s">
        <v>837</v>
      </c>
      <c r="D20" s="21" t="s">
        <v>840</v>
      </c>
      <c r="E20" s="76" t="e" vm="133">
        <v>#VALUE!</v>
      </c>
      <c r="F20" s="18">
        <v>41002</v>
      </c>
      <c r="G20" s="19" t="s">
        <v>841</v>
      </c>
      <c r="H20" s="18">
        <v>10</v>
      </c>
      <c r="I20" s="18" t="s">
        <v>146</v>
      </c>
      <c r="J20" s="56"/>
    </row>
    <row r="21" spans="1:10" ht="37.5" customHeight="1" x14ac:dyDescent="0.2">
      <c r="A21" s="18" t="s">
        <v>44</v>
      </c>
      <c r="B21" s="20" t="s">
        <v>809</v>
      </c>
      <c r="C21" s="20" t="s">
        <v>837</v>
      </c>
      <c r="D21" s="21" t="s">
        <v>840</v>
      </c>
      <c r="E21" s="23" t="e" vm="134">
        <v>#VALUE!</v>
      </c>
      <c r="F21" s="18">
        <v>41101</v>
      </c>
      <c r="G21" s="19" t="s">
        <v>842</v>
      </c>
      <c r="H21" s="18">
        <v>1</v>
      </c>
      <c r="I21" s="18" t="s">
        <v>48</v>
      </c>
      <c r="J21" s="56"/>
    </row>
    <row r="22" spans="1:10" ht="45" customHeight="1" x14ac:dyDescent="0.2">
      <c r="A22" s="18" t="s">
        <v>44</v>
      </c>
      <c r="B22" s="20" t="s">
        <v>809</v>
      </c>
      <c r="C22" s="20" t="s">
        <v>837</v>
      </c>
      <c r="D22" s="21" t="s">
        <v>840</v>
      </c>
      <c r="E22" s="73" t="e" vm="135">
        <v>#VALUE!</v>
      </c>
      <c r="F22" s="18">
        <v>41003</v>
      </c>
      <c r="G22" s="19" t="s">
        <v>843</v>
      </c>
      <c r="H22" s="18">
        <v>10</v>
      </c>
      <c r="I22" s="18" t="s">
        <v>844</v>
      </c>
      <c r="J22" s="56"/>
    </row>
    <row r="23" spans="1:10" ht="40.5" customHeight="1" x14ac:dyDescent="0.2">
      <c r="A23" s="18" t="s">
        <v>44</v>
      </c>
      <c r="B23" s="20" t="s">
        <v>809</v>
      </c>
      <c r="C23" s="20" t="s">
        <v>837</v>
      </c>
      <c r="D23" s="21" t="s">
        <v>840</v>
      </c>
      <c r="E23" s="76" t="e" vm="136">
        <v>#VALUE!</v>
      </c>
      <c r="F23" s="18">
        <v>341100</v>
      </c>
      <c r="G23" s="19" t="s">
        <v>845</v>
      </c>
      <c r="H23" s="18">
        <v>10</v>
      </c>
      <c r="I23" s="18" t="s">
        <v>844</v>
      </c>
      <c r="J23" s="56"/>
    </row>
    <row r="24" spans="1:10" ht="40.5" customHeight="1" x14ac:dyDescent="0.2">
      <c r="A24" s="18" t="s">
        <v>44</v>
      </c>
      <c r="B24" s="20" t="s">
        <v>809</v>
      </c>
      <c r="C24" s="20" t="s">
        <v>837</v>
      </c>
      <c r="D24" s="21" t="s">
        <v>846</v>
      </c>
      <c r="E24" s="75" t="e" vm="137">
        <v>#VALUE!</v>
      </c>
      <c r="F24" s="33">
        <v>41103</v>
      </c>
      <c r="G24" s="19" t="s">
        <v>847</v>
      </c>
      <c r="H24" s="18">
        <v>1</v>
      </c>
      <c r="I24" s="18" t="s">
        <v>48</v>
      </c>
      <c r="J24" s="56"/>
    </row>
    <row r="25" spans="1:10" ht="40.5" customHeight="1" x14ac:dyDescent="0.2">
      <c r="A25" s="18" t="s">
        <v>44</v>
      </c>
      <c r="B25" s="20" t="s">
        <v>809</v>
      </c>
      <c r="C25" s="20" t="s">
        <v>837</v>
      </c>
      <c r="D25" s="21" t="s">
        <v>848</v>
      </c>
      <c r="E25" s="76" t="e" vm="138">
        <v>#VALUE!</v>
      </c>
      <c r="F25" s="18">
        <v>344118</v>
      </c>
      <c r="G25" s="19" t="s">
        <v>849</v>
      </c>
      <c r="H25" s="18">
        <v>4</v>
      </c>
      <c r="I25" s="18" t="s">
        <v>146</v>
      </c>
      <c r="J25" s="56"/>
    </row>
    <row r="26" spans="1:10" ht="40.5" customHeight="1" x14ac:dyDescent="0.2">
      <c r="A26" s="18" t="s">
        <v>44</v>
      </c>
      <c r="B26" s="20" t="s">
        <v>809</v>
      </c>
      <c r="C26" s="20" t="s">
        <v>837</v>
      </c>
      <c r="D26" s="21" t="s">
        <v>848</v>
      </c>
      <c r="E26" s="23" t="e" vm="139">
        <v>#VALUE!</v>
      </c>
      <c r="F26" s="18">
        <v>344119</v>
      </c>
      <c r="G26" s="19" t="s">
        <v>850</v>
      </c>
      <c r="H26" s="18">
        <v>4</v>
      </c>
      <c r="I26" s="18" t="s">
        <v>146</v>
      </c>
      <c r="J26" s="56"/>
    </row>
    <row r="27" spans="1:10" ht="52.5" customHeight="1" x14ac:dyDescent="0.2">
      <c r="A27" s="18" t="s">
        <v>44</v>
      </c>
      <c r="B27" s="20" t="s">
        <v>809</v>
      </c>
      <c r="C27" s="20" t="s">
        <v>851</v>
      </c>
      <c r="D27" s="21" t="s">
        <v>840</v>
      </c>
      <c r="E27" s="76" t="e" vm="140">
        <v>#VALUE!</v>
      </c>
      <c r="F27" s="18">
        <v>344201</v>
      </c>
      <c r="G27" s="19" t="s">
        <v>852</v>
      </c>
      <c r="H27" s="18">
        <v>8</v>
      </c>
      <c r="I27" s="18" t="s">
        <v>844</v>
      </c>
      <c r="J27" s="56"/>
    </row>
    <row r="28" spans="1:10" ht="52.5" customHeight="1" x14ac:dyDescent="0.2">
      <c r="A28" s="18" t="s">
        <v>44</v>
      </c>
      <c r="B28" s="20" t="s">
        <v>809</v>
      </c>
      <c r="C28" s="20" t="s">
        <v>851</v>
      </c>
      <c r="D28" s="21" t="s">
        <v>840</v>
      </c>
      <c r="E28" s="23" t="e" vm="141">
        <v>#VALUE!</v>
      </c>
      <c r="F28" s="18">
        <v>344203</v>
      </c>
      <c r="G28" s="19" t="s">
        <v>853</v>
      </c>
      <c r="H28" s="18">
        <v>8</v>
      </c>
      <c r="I28" s="18" t="s">
        <v>844</v>
      </c>
      <c r="J28" s="56"/>
    </row>
    <row r="29" spans="1:10" ht="52.5" customHeight="1" x14ac:dyDescent="0.2">
      <c r="A29" s="18" t="s">
        <v>44</v>
      </c>
      <c r="B29" s="20" t="s">
        <v>809</v>
      </c>
      <c r="C29" s="20" t="s">
        <v>851</v>
      </c>
      <c r="D29" s="21" t="s">
        <v>854</v>
      </c>
      <c r="E29" s="103" t="e" vm="142">
        <v>#VALUE!</v>
      </c>
      <c r="F29" s="18">
        <v>344204</v>
      </c>
      <c r="G29" s="19" t="s">
        <v>855</v>
      </c>
      <c r="H29" s="18">
        <v>10</v>
      </c>
      <c r="I29" s="18" t="s">
        <v>844</v>
      </c>
      <c r="J29" s="56"/>
    </row>
    <row r="30" spans="1:10" ht="52.5" customHeight="1" x14ac:dyDescent="0.2">
      <c r="A30" s="18" t="s">
        <v>44</v>
      </c>
      <c r="B30" s="20" t="s">
        <v>809</v>
      </c>
      <c r="C30" s="20" t="s">
        <v>851</v>
      </c>
      <c r="D30" s="21" t="s">
        <v>854</v>
      </c>
      <c r="E30" s="122"/>
      <c r="F30" s="18">
        <v>344205</v>
      </c>
      <c r="G30" s="19" t="s">
        <v>856</v>
      </c>
      <c r="H30" s="18">
        <v>10</v>
      </c>
      <c r="I30" s="18" t="s">
        <v>844</v>
      </c>
      <c r="J30" s="56"/>
    </row>
    <row r="31" spans="1:10" ht="52.5" customHeight="1" x14ac:dyDescent="0.2">
      <c r="A31" s="18" t="s">
        <v>44</v>
      </c>
      <c r="B31" s="20" t="s">
        <v>809</v>
      </c>
      <c r="C31" s="20" t="s">
        <v>851</v>
      </c>
      <c r="D31" s="21" t="s">
        <v>854</v>
      </c>
      <c r="E31" s="23" t="e" vm="143">
        <v>#VALUE!</v>
      </c>
      <c r="F31" s="18">
        <v>344206</v>
      </c>
      <c r="G31" s="19" t="s">
        <v>857</v>
      </c>
      <c r="H31" s="18">
        <v>10</v>
      </c>
      <c r="I31" s="18" t="s">
        <v>844</v>
      </c>
      <c r="J31" s="56"/>
    </row>
    <row r="32" spans="1:10" ht="52.5" customHeight="1" x14ac:dyDescent="0.2">
      <c r="A32" s="18" t="s">
        <v>44</v>
      </c>
      <c r="B32" s="20" t="s">
        <v>809</v>
      </c>
      <c r="C32" s="20" t="s">
        <v>858</v>
      </c>
      <c r="D32" s="21" t="s">
        <v>859</v>
      </c>
      <c r="E32" s="36" t="e" vm="144">
        <v>#VALUE!</v>
      </c>
      <c r="F32" s="18">
        <v>44401</v>
      </c>
      <c r="G32" s="19" t="s">
        <v>860</v>
      </c>
      <c r="H32" s="18">
        <v>1</v>
      </c>
      <c r="I32" s="18" t="s">
        <v>363</v>
      </c>
      <c r="J32" s="56"/>
    </row>
    <row r="33" spans="1:10" ht="52.5" customHeight="1" x14ac:dyDescent="0.2">
      <c r="A33" s="18" t="s">
        <v>44</v>
      </c>
      <c r="B33" s="20" t="s">
        <v>809</v>
      </c>
      <c r="C33" s="20" t="s">
        <v>858</v>
      </c>
      <c r="D33" s="21" t="s">
        <v>861</v>
      </c>
      <c r="E33" s="36" t="e" vm="145">
        <v>#VALUE!</v>
      </c>
      <c r="F33" s="18">
        <v>44402</v>
      </c>
      <c r="G33" s="19" t="s">
        <v>862</v>
      </c>
      <c r="H33" s="18">
        <v>1</v>
      </c>
      <c r="I33" s="18" t="s">
        <v>363</v>
      </c>
      <c r="J33" s="56"/>
    </row>
    <row r="34" spans="1:10" ht="52.5" customHeight="1" x14ac:dyDescent="0.2">
      <c r="A34" s="18" t="s">
        <v>44</v>
      </c>
      <c r="B34" s="20" t="s">
        <v>809</v>
      </c>
      <c r="C34" s="20" t="s">
        <v>858</v>
      </c>
      <c r="D34" s="21" t="s">
        <v>861</v>
      </c>
      <c r="E34" s="36" t="e" vm="146">
        <v>#VALUE!</v>
      </c>
      <c r="F34" s="18">
        <v>44403</v>
      </c>
      <c r="G34" s="19" t="s">
        <v>863</v>
      </c>
      <c r="H34" s="18">
        <v>1</v>
      </c>
      <c r="I34" s="18" t="s">
        <v>363</v>
      </c>
      <c r="J34" s="56"/>
    </row>
    <row r="35" spans="1:10" ht="52.5" customHeight="1" x14ac:dyDescent="0.2">
      <c r="A35" s="18" t="s">
        <v>44</v>
      </c>
      <c r="B35" s="20" t="s">
        <v>809</v>
      </c>
      <c r="C35" s="20" t="s">
        <v>858</v>
      </c>
      <c r="D35" s="21" t="s">
        <v>859</v>
      </c>
      <c r="E35" s="36" t="e" vm="147">
        <v>#VALUE!</v>
      </c>
      <c r="F35" s="18">
        <v>44404</v>
      </c>
      <c r="G35" s="19" t="s">
        <v>864</v>
      </c>
      <c r="H35" s="18">
        <v>1</v>
      </c>
      <c r="I35" s="18" t="s">
        <v>363</v>
      </c>
      <c r="J35" s="56"/>
    </row>
    <row r="36" spans="1:10" ht="40.5" customHeight="1" x14ac:dyDescent="0.2">
      <c r="A36" s="18" t="s">
        <v>44</v>
      </c>
      <c r="B36" s="20" t="s">
        <v>809</v>
      </c>
      <c r="C36" s="20" t="s">
        <v>858</v>
      </c>
      <c r="D36" s="21" t="s">
        <v>865</v>
      </c>
      <c r="E36" s="135" t="e" vm="148">
        <v>#VALUE!</v>
      </c>
      <c r="F36" s="18">
        <v>44407</v>
      </c>
      <c r="G36" s="19" t="s">
        <v>866</v>
      </c>
      <c r="H36" s="18">
        <v>1</v>
      </c>
      <c r="I36" s="18" t="s">
        <v>146</v>
      </c>
      <c r="J36" s="56"/>
    </row>
    <row r="37" spans="1:10" ht="40.5" customHeight="1" x14ac:dyDescent="0.2">
      <c r="A37" s="18" t="s">
        <v>44</v>
      </c>
      <c r="B37" s="20" t="s">
        <v>809</v>
      </c>
      <c r="C37" s="20" t="s">
        <v>858</v>
      </c>
      <c r="D37" s="21" t="s">
        <v>865</v>
      </c>
      <c r="E37" s="136"/>
      <c r="F37" s="18">
        <v>44408</v>
      </c>
      <c r="G37" s="19" t="s">
        <v>867</v>
      </c>
      <c r="H37" s="18">
        <v>1</v>
      </c>
      <c r="I37" s="18" t="s">
        <v>146</v>
      </c>
      <c r="J37" s="56"/>
    </row>
    <row r="38" spans="1:10" ht="40.5" customHeight="1" x14ac:dyDescent="0.2">
      <c r="A38" s="18" t="s">
        <v>44</v>
      </c>
      <c r="B38" s="20" t="s">
        <v>809</v>
      </c>
      <c r="C38" s="20" t="s">
        <v>858</v>
      </c>
      <c r="D38" s="21" t="s">
        <v>865</v>
      </c>
      <c r="E38" s="137"/>
      <c r="F38" s="18">
        <v>44409</v>
      </c>
      <c r="G38" s="19" t="s">
        <v>868</v>
      </c>
      <c r="H38" s="18">
        <v>1</v>
      </c>
      <c r="I38" s="18" t="s">
        <v>146</v>
      </c>
      <c r="J38" s="56"/>
    </row>
    <row r="39" spans="1:10" ht="21" customHeight="1" x14ac:dyDescent="0.2">
      <c r="A39" s="18" t="s">
        <v>44</v>
      </c>
      <c r="B39" s="20" t="s">
        <v>809</v>
      </c>
      <c r="C39" s="20" t="s">
        <v>869</v>
      </c>
      <c r="D39" s="21" t="s">
        <v>870</v>
      </c>
      <c r="E39" s="138" t="e" vm="149">
        <v>#VALUE!</v>
      </c>
      <c r="F39" s="18">
        <v>40001</v>
      </c>
      <c r="G39" s="19" t="s">
        <v>871</v>
      </c>
      <c r="H39" s="18">
        <v>10</v>
      </c>
      <c r="I39" s="18" t="s">
        <v>48</v>
      </c>
      <c r="J39" s="56"/>
    </row>
    <row r="40" spans="1:10" ht="21" customHeight="1" x14ac:dyDescent="0.2">
      <c r="A40" s="18" t="s">
        <v>44</v>
      </c>
      <c r="B40" s="20" t="s">
        <v>809</v>
      </c>
      <c r="C40" s="20" t="s">
        <v>869</v>
      </c>
      <c r="D40" s="21" t="s">
        <v>870</v>
      </c>
      <c r="E40" s="140"/>
      <c r="F40" s="18">
        <v>40002</v>
      </c>
      <c r="G40" s="19" t="s">
        <v>872</v>
      </c>
      <c r="H40" s="18">
        <v>10</v>
      </c>
      <c r="I40" s="18" t="s">
        <v>48</v>
      </c>
      <c r="J40" s="56"/>
    </row>
    <row r="41" spans="1:10" ht="21" customHeight="1" x14ac:dyDescent="0.2">
      <c r="A41" s="18" t="s">
        <v>44</v>
      </c>
      <c r="B41" s="20" t="s">
        <v>809</v>
      </c>
      <c r="C41" s="20" t="s">
        <v>869</v>
      </c>
      <c r="D41" s="21" t="s">
        <v>870</v>
      </c>
      <c r="E41" s="140"/>
      <c r="F41" s="18">
        <v>40003</v>
      </c>
      <c r="G41" s="19" t="s">
        <v>873</v>
      </c>
      <c r="H41" s="18">
        <v>10</v>
      </c>
      <c r="I41" s="18" t="s">
        <v>48</v>
      </c>
      <c r="J41" s="56"/>
    </row>
    <row r="42" spans="1:10" ht="21" customHeight="1" x14ac:dyDescent="0.2">
      <c r="A42" s="18" t="s">
        <v>44</v>
      </c>
      <c r="B42" s="20" t="s">
        <v>809</v>
      </c>
      <c r="C42" s="20" t="s">
        <v>869</v>
      </c>
      <c r="D42" s="21" t="s">
        <v>870</v>
      </c>
      <c r="E42" s="140"/>
      <c r="F42" s="18">
        <v>40004</v>
      </c>
      <c r="G42" s="19" t="s">
        <v>874</v>
      </c>
      <c r="H42" s="18">
        <v>10</v>
      </c>
      <c r="I42" s="18" t="s">
        <v>48</v>
      </c>
      <c r="J42" s="56"/>
    </row>
    <row r="43" spans="1:10" ht="21" customHeight="1" x14ac:dyDescent="0.2">
      <c r="A43" s="18" t="s">
        <v>44</v>
      </c>
      <c r="B43" s="20" t="s">
        <v>809</v>
      </c>
      <c r="C43" s="20" t="s">
        <v>869</v>
      </c>
      <c r="D43" s="21" t="s">
        <v>870</v>
      </c>
      <c r="E43" s="139"/>
      <c r="F43" s="18">
        <v>40005</v>
      </c>
      <c r="G43" s="19" t="s">
        <v>875</v>
      </c>
      <c r="H43" s="18">
        <v>10</v>
      </c>
      <c r="I43" s="18" t="s">
        <v>48</v>
      </c>
      <c r="J43" s="56"/>
    </row>
    <row r="44" spans="1:10" ht="21" customHeight="1" x14ac:dyDescent="0.2">
      <c r="A44" s="18" t="s">
        <v>44</v>
      </c>
      <c r="B44" s="20" t="s">
        <v>809</v>
      </c>
      <c r="C44" s="20" t="s">
        <v>869</v>
      </c>
      <c r="D44" s="21" t="s">
        <v>870</v>
      </c>
      <c r="E44" s="138" t="e" vm="150">
        <v>#VALUE!</v>
      </c>
      <c r="F44" s="18">
        <v>40006</v>
      </c>
      <c r="G44" s="19" t="s">
        <v>876</v>
      </c>
      <c r="H44" s="18">
        <v>10</v>
      </c>
      <c r="I44" s="18" t="s">
        <v>48</v>
      </c>
      <c r="J44" s="56"/>
    </row>
    <row r="45" spans="1:10" ht="21" customHeight="1" x14ac:dyDescent="0.2">
      <c r="A45" s="18" t="s">
        <v>44</v>
      </c>
      <c r="B45" s="20" t="s">
        <v>809</v>
      </c>
      <c r="C45" s="20" t="s">
        <v>869</v>
      </c>
      <c r="D45" s="21" t="s">
        <v>870</v>
      </c>
      <c r="E45" s="140"/>
      <c r="F45" s="18">
        <v>40007</v>
      </c>
      <c r="G45" s="19" t="s">
        <v>877</v>
      </c>
      <c r="H45" s="18">
        <v>10</v>
      </c>
      <c r="I45" s="18" t="s">
        <v>48</v>
      </c>
      <c r="J45" s="56"/>
    </row>
    <row r="46" spans="1:10" ht="21" customHeight="1" x14ac:dyDescent="0.2">
      <c r="A46" s="18" t="s">
        <v>44</v>
      </c>
      <c r="B46" s="20" t="s">
        <v>809</v>
      </c>
      <c r="C46" s="20" t="s">
        <v>869</v>
      </c>
      <c r="D46" s="21" t="s">
        <v>870</v>
      </c>
      <c r="E46" s="140"/>
      <c r="F46" s="18">
        <v>40008</v>
      </c>
      <c r="G46" s="19" t="s">
        <v>878</v>
      </c>
      <c r="H46" s="18">
        <v>10</v>
      </c>
      <c r="I46" s="18" t="s">
        <v>48</v>
      </c>
      <c r="J46" s="56"/>
    </row>
    <row r="47" spans="1:10" ht="21" customHeight="1" x14ac:dyDescent="0.2">
      <c r="A47" s="18" t="s">
        <v>44</v>
      </c>
      <c r="B47" s="20" t="s">
        <v>809</v>
      </c>
      <c r="C47" s="20" t="s">
        <v>869</v>
      </c>
      <c r="D47" s="21" t="s">
        <v>870</v>
      </c>
      <c r="E47" s="140"/>
      <c r="F47" s="18">
        <v>40009</v>
      </c>
      <c r="G47" s="19" t="s">
        <v>879</v>
      </c>
      <c r="H47" s="18">
        <v>10</v>
      </c>
      <c r="I47" s="18" t="s">
        <v>48</v>
      </c>
      <c r="J47" s="56"/>
    </row>
    <row r="48" spans="1:10" ht="21" customHeight="1" x14ac:dyDescent="0.2">
      <c r="A48" s="18" t="s">
        <v>44</v>
      </c>
      <c r="B48" s="20" t="s">
        <v>809</v>
      </c>
      <c r="C48" s="20" t="s">
        <v>869</v>
      </c>
      <c r="D48" s="21" t="s">
        <v>870</v>
      </c>
      <c r="E48" s="139"/>
      <c r="F48" s="18">
        <v>40010</v>
      </c>
      <c r="G48" s="19" t="s">
        <v>880</v>
      </c>
      <c r="H48" s="18">
        <v>10</v>
      </c>
      <c r="I48" s="18" t="s">
        <v>48</v>
      </c>
      <c r="J48" s="56"/>
    </row>
    <row r="49" spans="1:10" ht="21" customHeight="1" x14ac:dyDescent="0.2">
      <c r="A49" s="18" t="s">
        <v>44</v>
      </c>
      <c r="B49" s="20" t="s">
        <v>809</v>
      </c>
      <c r="C49" s="20" t="s">
        <v>869</v>
      </c>
      <c r="D49" s="21" t="s">
        <v>881</v>
      </c>
      <c r="E49" s="138" t="e" vm="151">
        <v>#VALUE!</v>
      </c>
      <c r="F49" s="18">
        <v>40011</v>
      </c>
      <c r="G49" s="19" t="s">
        <v>882</v>
      </c>
      <c r="H49" s="18">
        <v>10</v>
      </c>
      <c r="I49" s="18" t="s">
        <v>48</v>
      </c>
      <c r="J49" s="56"/>
    </row>
    <row r="50" spans="1:10" ht="21" customHeight="1" x14ac:dyDescent="0.2">
      <c r="A50" s="18" t="s">
        <v>44</v>
      </c>
      <c r="B50" s="20" t="s">
        <v>809</v>
      </c>
      <c r="C50" s="20" t="s">
        <v>869</v>
      </c>
      <c r="D50" s="21" t="s">
        <v>881</v>
      </c>
      <c r="E50" s="140"/>
      <c r="F50" s="18">
        <v>40012</v>
      </c>
      <c r="G50" s="19" t="s">
        <v>883</v>
      </c>
      <c r="H50" s="18">
        <v>10</v>
      </c>
      <c r="I50" s="18" t="s">
        <v>48</v>
      </c>
      <c r="J50" s="56"/>
    </row>
    <row r="51" spans="1:10" ht="18.75" customHeight="1" x14ac:dyDescent="0.2">
      <c r="A51" s="18" t="s">
        <v>44</v>
      </c>
      <c r="B51" s="20" t="s">
        <v>809</v>
      </c>
      <c r="C51" s="20" t="s">
        <v>869</v>
      </c>
      <c r="D51" s="21" t="s">
        <v>881</v>
      </c>
      <c r="E51" s="140"/>
      <c r="F51" s="18">
        <v>40013</v>
      </c>
      <c r="G51" s="19" t="s">
        <v>884</v>
      </c>
      <c r="H51" s="18">
        <v>10</v>
      </c>
      <c r="I51" s="18" t="s">
        <v>48</v>
      </c>
      <c r="J51" s="56"/>
    </row>
    <row r="52" spans="1:10" ht="18.75" customHeight="1" x14ac:dyDescent="0.2">
      <c r="A52" s="18" t="s">
        <v>44</v>
      </c>
      <c r="B52" s="20" t="s">
        <v>809</v>
      </c>
      <c r="C52" s="20" t="s">
        <v>869</v>
      </c>
      <c r="D52" s="21" t="s">
        <v>881</v>
      </c>
      <c r="E52" s="139"/>
      <c r="F52" s="18">
        <v>40014</v>
      </c>
      <c r="G52" s="19" t="s">
        <v>885</v>
      </c>
      <c r="H52" s="18">
        <v>10</v>
      </c>
      <c r="I52" s="18" t="s">
        <v>48</v>
      </c>
      <c r="J52" s="56"/>
    </row>
    <row r="53" spans="1:10" ht="18.75" customHeight="1" x14ac:dyDescent="0.2">
      <c r="A53" s="18" t="s">
        <v>44</v>
      </c>
      <c r="B53" s="20" t="s">
        <v>809</v>
      </c>
      <c r="C53" s="20" t="s">
        <v>869</v>
      </c>
      <c r="D53" s="21" t="s">
        <v>886</v>
      </c>
      <c r="E53" s="138" t="e" vm="152">
        <v>#VALUE!</v>
      </c>
      <c r="F53" s="18">
        <v>40015</v>
      </c>
      <c r="G53" s="19" t="s">
        <v>887</v>
      </c>
      <c r="H53" s="18">
        <v>1</v>
      </c>
      <c r="I53" s="18" t="s">
        <v>146</v>
      </c>
      <c r="J53" s="56"/>
    </row>
    <row r="54" spans="1:10" ht="18.75" customHeight="1" x14ac:dyDescent="0.2">
      <c r="A54" s="18" t="s">
        <v>44</v>
      </c>
      <c r="B54" s="20" t="s">
        <v>809</v>
      </c>
      <c r="C54" s="20" t="s">
        <v>869</v>
      </c>
      <c r="D54" s="21" t="s">
        <v>886</v>
      </c>
      <c r="E54" s="139"/>
      <c r="F54" s="18">
        <v>40016</v>
      </c>
      <c r="G54" s="19" t="s">
        <v>888</v>
      </c>
      <c r="H54" s="18">
        <v>1</v>
      </c>
      <c r="I54" s="18" t="s">
        <v>146</v>
      </c>
      <c r="J54" s="56"/>
    </row>
    <row r="55" spans="1:10" ht="30" customHeight="1" x14ac:dyDescent="0.2">
      <c r="A55" s="18" t="s">
        <v>44</v>
      </c>
      <c r="B55" s="20" t="s">
        <v>809</v>
      </c>
      <c r="C55" s="20" t="s">
        <v>869</v>
      </c>
      <c r="D55" s="21" t="s">
        <v>886</v>
      </c>
      <c r="E55" s="36" t="e" vm="153">
        <v>#VALUE!</v>
      </c>
      <c r="F55" s="18">
        <v>40018</v>
      </c>
      <c r="G55" s="19" t="s">
        <v>889</v>
      </c>
      <c r="H55" s="18">
        <v>1</v>
      </c>
      <c r="I55" s="18" t="s">
        <v>146</v>
      </c>
      <c r="J55" s="56"/>
    </row>
    <row r="56" spans="1:10" ht="15.75" customHeight="1" x14ac:dyDescent="0.2">
      <c r="A56" s="40"/>
      <c r="B56" s="41"/>
      <c r="C56" s="41"/>
      <c r="D56" s="42"/>
      <c r="E56" s="80"/>
      <c r="F56" s="42"/>
      <c r="G56" s="42"/>
      <c r="H56" s="41"/>
      <c r="I56" s="42"/>
    </row>
  </sheetData>
  <mergeCells count="8">
    <mergeCell ref="E36:E38"/>
    <mergeCell ref="E53:E54"/>
    <mergeCell ref="E44:E48"/>
    <mergeCell ref="B1:I1"/>
    <mergeCell ref="E29:E30"/>
    <mergeCell ref="E10:E11"/>
    <mergeCell ref="E49:E52"/>
    <mergeCell ref="E39:E43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55" xr:uid="{00000000-0002-0000-0C00-000000000000}">
      <formula1>0</formula1>
    </dataValidation>
  </dataValidations>
  <hyperlinks>
    <hyperlink ref="A1" location="'Menú por Categoría'!C14" display="Volver al menú principal" xr:uid="{00000000-0004-0000-0C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J47"/>
  <sheetViews>
    <sheetView showGridLines="0" zoomScale="70" zoomScaleNormal="70" workbookViewId="0">
      <pane ySplit="2" topLeftCell="A3" activePane="bottomLeft" state="frozen"/>
      <selection pane="bottomLeft" activeCell="G9" sqref="G9"/>
    </sheetView>
  </sheetViews>
  <sheetFormatPr baseColWidth="10" defaultColWidth="16" defaultRowHeight="15.75" customHeight="1" x14ac:dyDescent="0.2"/>
  <cols>
    <col min="1" max="1" width="22.5" style="10" customWidth="1"/>
    <col min="2" max="2" width="32.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6" style="10" customWidth="1"/>
    <col min="11" max="16384" width="16" style="10"/>
  </cols>
  <sheetData>
    <row r="1" spans="1:10" ht="63.7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</row>
    <row r="2" spans="1:10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55" t="s">
        <v>1429</v>
      </c>
    </row>
    <row r="3" spans="1:10" ht="15.75" customHeight="1" x14ac:dyDescent="0.2">
      <c r="A3" s="18" t="s">
        <v>44</v>
      </c>
      <c r="B3" s="19" t="s">
        <v>890</v>
      </c>
      <c r="C3" s="20" t="s">
        <v>891</v>
      </c>
      <c r="D3" s="21" t="s">
        <v>46</v>
      </c>
      <c r="E3" s="103" t="e" vm="154">
        <v>#VALUE!</v>
      </c>
      <c r="F3" s="18">
        <v>12604</v>
      </c>
      <c r="G3" s="19" t="s">
        <v>892</v>
      </c>
      <c r="H3" s="18">
        <v>1</v>
      </c>
      <c r="I3" s="18" t="s">
        <v>146</v>
      </c>
      <c r="J3" s="56"/>
    </row>
    <row r="4" spans="1:10" ht="15.75" customHeight="1" x14ac:dyDescent="0.2">
      <c r="A4" s="18" t="s">
        <v>44</v>
      </c>
      <c r="B4" s="19" t="s">
        <v>890</v>
      </c>
      <c r="C4" s="20" t="s">
        <v>891</v>
      </c>
      <c r="D4" s="21" t="s">
        <v>46</v>
      </c>
      <c r="E4" s="104"/>
      <c r="F4" s="18" t="s">
        <v>893</v>
      </c>
      <c r="G4" s="19" t="s">
        <v>894</v>
      </c>
      <c r="H4" s="18">
        <v>1</v>
      </c>
      <c r="I4" s="18" t="s">
        <v>146</v>
      </c>
      <c r="J4" s="56"/>
    </row>
    <row r="5" spans="1:10" ht="15.75" customHeight="1" x14ac:dyDescent="0.2">
      <c r="A5" s="18" t="s">
        <v>44</v>
      </c>
      <c r="B5" s="19" t="s">
        <v>890</v>
      </c>
      <c r="C5" s="20" t="s">
        <v>891</v>
      </c>
      <c r="D5" s="21" t="s">
        <v>46</v>
      </c>
      <c r="E5" s="104"/>
      <c r="F5" s="18">
        <v>12605</v>
      </c>
      <c r="G5" s="19" t="s">
        <v>895</v>
      </c>
      <c r="H5" s="18">
        <v>1</v>
      </c>
      <c r="I5" s="18" t="s">
        <v>146</v>
      </c>
      <c r="J5" s="56"/>
    </row>
    <row r="6" spans="1:10" ht="15.75" customHeight="1" x14ac:dyDescent="0.2">
      <c r="A6" s="18" t="s">
        <v>44</v>
      </c>
      <c r="B6" s="19" t="s">
        <v>890</v>
      </c>
      <c r="C6" s="20" t="s">
        <v>891</v>
      </c>
      <c r="D6" s="21" t="s">
        <v>46</v>
      </c>
      <c r="E6" s="105"/>
      <c r="F6" s="18" t="s">
        <v>896</v>
      </c>
      <c r="G6" s="19" t="s">
        <v>897</v>
      </c>
      <c r="H6" s="18">
        <v>1</v>
      </c>
      <c r="I6" s="18" t="s">
        <v>146</v>
      </c>
      <c r="J6" s="56"/>
    </row>
    <row r="7" spans="1:10" ht="30" customHeight="1" x14ac:dyDescent="0.2">
      <c r="A7" s="18" t="s">
        <v>44</v>
      </c>
      <c r="B7" s="19" t="s">
        <v>890</v>
      </c>
      <c r="C7" s="20" t="s">
        <v>891</v>
      </c>
      <c r="D7" s="21" t="s">
        <v>898</v>
      </c>
      <c r="E7" s="103" t="e" vm="155">
        <v>#VALUE!</v>
      </c>
      <c r="F7" s="18">
        <v>346001</v>
      </c>
      <c r="G7" s="19" t="s">
        <v>899</v>
      </c>
      <c r="H7" s="18">
        <v>10</v>
      </c>
      <c r="I7" s="18" t="s">
        <v>48</v>
      </c>
      <c r="J7" s="56"/>
    </row>
    <row r="8" spans="1:10" ht="30" customHeight="1" x14ac:dyDescent="0.2">
      <c r="A8" s="18" t="s">
        <v>44</v>
      </c>
      <c r="B8" s="19" t="s">
        <v>890</v>
      </c>
      <c r="C8" s="20" t="s">
        <v>891</v>
      </c>
      <c r="D8" s="21" t="s">
        <v>898</v>
      </c>
      <c r="E8" s="105"/>
      <c r="F8" s="18" t="s">
        <v>900</v>
      </c>
      <c r="G8" s="19" t="s">
        <v>901</v>
      </c>
      <c r="H8" s="18">
        <v>10</v>
      </c>
      <c r="I8" s="18" t="s">
        <v>48</v>
      </c>
      <c r="J8" s="56"/>
    </row>
    <row r="9" spans="1:10" ht="33" customHeight="1" x14ac:dyDescent="0.2">
      <c r="A9" s="18" t="s">
        <v>44</v>
      </c>
      <c r="B9" s="19" t="s">
        <v>890</v>
      </c>
      <c r="C9" s="20" t="s">
        <v>902</v>
      </c>
      <c r="D9" s="21" t="s">
        <v>903</v>
      </c>
      <c r="E9" s="103" t="e" vm="156">
        <v>#VALUE!</v>
      </c>
      <c r="F9" s="18">
        <v>346002</v>
      </c>
      <c r="G9" s="19" t="s">
        <v>904</v>
      </c>
      <c r="H9" s="18">
        <v>10</v>
      </c>
      <c r="I9" s="18" t="s">
        <v>146</v>
      </c>
      <c r="J9" s="56"/>
    </row>
    <row r="10" spans="1:10" ht="33" customHeight="1" x14ac:dyDescent="0.2">
      <c r="A10" s="18" t="s">
        <v>44</v>
      </c>
      <c r="B10" s="19" t="s">
        <v>890</v>
      </c>
      <c r="C10" s="20" t="s">
        <v>902</v>
      </c>
      <c r="D10" s="21" t="s">
        <v>903</v>
      </c>
      <c r="E10" s="105"/>
      <c r="F10" s="18" t="s">
        <v>905</v>
      </c>
      <c r="G10" s="19" t="s">
        <v>906</v>
      </c>
      <c r="H10" s="18">
        <v>10</v>
      </c>
      <c r="I10" s="18" t="s">
        <v>146</v>
      </c>
      <c r="J10" s="56"/>
    </row>
    <row r="11" spans="1:10" ht="26.25" customHeight="1" x14ac:dyDescent="0.2">
      <c r="A11" s="18" t="s">
        <v>44</v>
      </c>
      <c r="B11" s="19" t="s">
        <v>890</v>
      </c>
      <c r="C11" s="20" t="s">
        <v>902</v>
      </c>
      <c r="D11" s="21" t="s">
        <v>903</v>
      </c>
      <c r="E11" s="103" t="e" vm="157">
        <v>#VALUE!</v>
      </c>
      <c r="F11" s="18">
        <v>346003</v>
      </c>
      <c r="G11" s="19" t="s">
        <v>907</v>
      </c>
      <c r="H11" s="18">
        <v>25</v>
      </c>
      <c r="I11" s="18" t="s">
        <v>146</v>
      </c>
      <c r="J11" s="56"/>
    </row>
    <row r="12" spans="1:10" ht="26.25" customHeight="1" x14ac:dyDescent="0.2">
      <c r="A12" s="18" t="s">
        <v>44</v>
      </c>
      <c r="B12" s="19" t="s">
        <v>890</v>
      </c>
      <c r="C12" s="20" t="s">
        <v>902</v>
      </c>
      <c r="D12" s="21" t="s">
        <v>903</v>
      </c>
      <c r="E12" s="105"/>
      <c r="F12" s="18" t="s">
        <v>908</v>
      </c>
      <c r="G12" s="19" t="s">
        <v>909</v>
      </c>
      <c r="H12" s="18">
        <v>25</v>
      </c>
      <c r="I12" s="18" t="s">
        <v>146</v>
      </c>
      <c r="J12" s="56"/>
    </row>
    <row r="13" spans="1:10" ht="28.5" customHeight="1" x14ac:dyDescent="0.2">
      <c r="A13" s="18" t="s">
        <v>44</v>
      </c>
      <c r="B13" s="19" t="s">
        <v>890</v>
      </c>
      <c r="C13" s="20" t="s">
        <v>902</v>
      </c>
      <c r="D13" s="21" t="s">
        <v>903</v>
      </c>
      <c r="E13" s="103" t="e" vm="158">
        <v>#VALUE!</v>
      </c>
      <c r="F13" s="18">
        <v>346004</v>
      </c>
      <c r="G13" s="19" t="s">
        <v>910</v>
      </c>
      <c r="H13" s="18">
        <v>17</v>
      </c>
      <c r="I13" s="18" t="s">
        <v>146</v>
      </c>
      <c r="J13" s="56"/>
    </row>
    <row r="14" spans="1:10" ht="28.5" customHeight="1" x14ac:dyDescent="0.2">
      <c r="A14" s="18" t="s">
        <v>44</v>
      </c>
      <c r="B14" s="19" t="s">
        <v>890</v>
      </c>
      <c r="C14" s="20" t="s">
        <v>902</v>
      </c>
      <c r="D14" s="21" t="s">
        <v>903</v>
      </c>
      <c r="E14" s="105"/>
      <c r="F14" s="18" t="s">
        <v>911</v>
      </c>
      <c r="G14" s="19" t="s">
        <v>912</v>
      </c>
      <c r="H14" s="18">
        <v>17</v>
      </c>
      <c r="I14" s="18" t="s">
        <v>146</v>
      </c>
      <c r="J14" s="56"/>
    </row>
    <row r="15" spans="1:10" ht="27.75" customHeight="1" x14ac:dyDescent="0.2">
      <c r="A15" s="18" t="s">
        <v>44</v>
      </c>
      <c r="B15" s="19" t="s">
        <v>890</v>
      </c>
      <c r="C15" s="20" t="s">
        <v>902</v>
      </c>
      <c r="D15" s="21" t="s">
        <v>903</v>
      </c>
      <c r="E15" s="103" t="e" vm="159">
        <v>#VALUE!</v>
      </c>
      <c r="F15" s="18">
        <v>346014</v>
      </c>
      <c r="G15" s="19" t="s">
        <v>913</v>
      </c>
      <c r="H15" s="18">
        <v>17</v>
      </c>
      <c r="I15" s="18" t="s">
        <v>146</v>
      </c>
      <c r="J15" s="56"/>
    </row>
    <row r="16" spans="1:10" ht="27" customHeight="1" x14ac:dyDescent="0.2">
      <c r="A16" s="18" t="s">
        <v>44</v>
      </c>
      <c r="B16" s="19" t="s">
        <v>890</v>
      </c>
      <c r="C16" s="20" t="s">
        <v>902</v>
      </c>
      <c r="D16" s="21" t="s">
        <v>903</v>
      </c>
      <c r="E16" s="105"/>
      <c r="F16" s="18" t="s">
        <v>914</v>
      </c>
      <c r="G16" s="19" t="s">
        <v>913</v>
      </c>
      <c r="H16" s="18">
        <v>17</v>
      </c>
      <c r="I16" s="18" t="s">
        <v>146</v>
      </c>
      <c r="J16" s="56"/>
    </row>
    <row r="17" spans="1:10" ht="27.75" customHeight="1" x14ac:dyDescent="0.2">
      <c r="A17" s="18" t="s">
        <v>44</v>
      </c>
      <c r="B17" s="19" t="s">
        <v>890</v>
      </c>
      <c r="C17" s="20" t="s">
        <v>902</v>
      </c>
      <c r="D17" s="21" t="s">
        <v>903</v>
      </c>
      <c r="E17" s="111" t="e" vm="160">
        <v>#VALUE!</v>
      </c>
      <c r="F17" s="18">
        <v>346021</v>
      </c>
      <c r="G17" s="19" t="s">
        <v>915</v>
      </c>
      <c r="H17" s="18">
        <v>10</v>
      </c>
      <c r="I17" s="18" t="s">
        <v>146</v>
      </c>
      <c r="J17" s="56"/>
    </row>
    <row r="18" spans="1:10" ht="27.75" customHeight="1" x14ac:dyDescent="0.2">
      <c r="A18" s="18" t="s">
        <v>44</v>
      </c>
      <c r="B18" s="19" t="s">
        <v>890</v>
      </c>
      <c r="C18" s="20" t="s">
        <v>902</v>
      </c>
      <c r="D18" s="21" t="s">
        <v>903</v>
      </c>
      <c r="E18" s="111"/>
      <c r="F18" s="18" t="s">
        <v>916</v>
      </c>
      <c r="G18" s="19" t="s">
        <v>917</v>
      </c>
      <c r="H18" s="18">
        <v>10</v>
      </c>
      <c r="I18" s="18" t="s">
        <v>146</v>
      </c>
      <c r="J18" s="56"/>
    </row>
    <row r="19" spans="1:10" ht="26.25" customHeight="1" x14ac:dyDescent="0.2">
      <c r="A19" s="18" t="s">
        <v>44</v>
      </c>
      <c r="B19" s="19" t="s">
        <v>890</v>
      </c>
      <c r="C19" s="20" t="s">
        <v>902</v>
      </c>
      <c r="D19" s="21" t="s">
        <v>903</v>
      </c>
      <c r="E19" s="103" t="e" vm="161">
        <v>#VALUE!</v>
      </c>
      <c r="F19" s="18">
        <v>346005</v>
      </c>
      <c r="G19" s="19" t="s">
        <v>918</v>
      </c>
      <c r="H19" s="18">
        <v>10</v>
      </c>
      <c r="I19" s="18" t="s">
        <v>146</v>
      </c>
      <c r="J19" s="56"/>
    </row>
    <row r="20" spans="1:10" ht="26.25" customHeight="1" x14ac:dyDescent="0.2">
      <c r="A20" s="18" t="s">
        <v>44</v>
      </c>
      <c r="B20" s="19" t="s">
        <v>890</v>
      </c>
      <c r="C20" s="20" t="s">
        <v>902</v>
      </c>
      <c r="D20" s="21" t="s">
        <v>903</v>
      </c>
      <c r="E20" s="105"/>
      <c r="F20" s="18" t="s">
        <v>919</v>
      </c>
      <c r="G20" s="19" t="s">
        <v>920</v>
      </c>
      <c r="H20" s="18">
        <v>10</v>
      </c>
      <c r="I20" s="18" t="s">
        <v>146</v>
      </c>
      <c r="J20" s="56"/>
    </row>
    <row r="21" spans="1:10" ht="26.25" customHeight="1" x14ac:dyDescent="0.2">
      <c r="A21" s="18" t="s">
        <v>44</v>
      </c>
      <c r="B21" s="19" t="s">
        <v>890</v>
      </c>
      <c r="C21" s="20" t="s">
        <v>902</v>
      </c>
      <c r="D21" s="21" t="s">
        <v>903</v>
      </c>
      <c r="E21" s="103" t="e" vm="162">
        <v>#VALUE!</v>
      </c>
      <c r="F21" s="18">
        <v>346006</v>
      </c>
      <c r="G21" s="19" t="s">
        <v>921</v>
      </c>
      <c r="H21" s="18">
        <v>10</v>
      </c>
      <c r="I21" s="18" t="s">
        <v>146</v>
      </c>
      <c r="J21" s="56"/>
    </row>
    <row r="22" spans="1:10" ht="26.25" customHeight="1" x14ac:dyDescent="0.2">
      <c r="A22" s="18" t="s">
        <v>44</v>
      </c>
      <c r="B22" s="19" t="s">
        <v>890</v>
      </c>
      <c r="C22" s="20" t="s">
        <v>902</v>
      </c>
      <c r="D22" s="21" t="s">
        <v>903</v>
      </c>
      <c r="E22" s="105"/>
      <c r="F22" s="18" t="s">
        <v>922</v>
      </c>
      <c r="G22" s="19" t="s">
        <v>923</v>
      </c>
      <c r="H22" s="18">
        <v>10</v>
      </c>
      <c r="I22" s="18" t="s">
        <v>146</v>
      </c>
      <c r="J22" s="56"/>
    </row>
    <row r="23" spans="1:10" ht="26.25" customHeight="1" x14ac:dyDescent="0.2">
      <c r="A23" s="18" t="s">
        <v>44</v>
      </c>
      <c r="B23" s="19" t="s">
        <v>890</v>
      </c>
      <c r="C23" s="20" t="s">
        <v>902</v>
      </c>
      <c r="D23" s="21" t="s">
        <v>903</v>
      </c>
      <c r="E23" s="103" t="e" vm="163">
        <v>#VALUE!</v>
      </c>
      <c r="F23" s="18">
        <v>346015</v>
      </c>
      <c r="G23" s="19" t="s">
        <v>924</v>
      </c>
      <c r="H23" s="18">
        <v>10</v>
      </c>
      <c r="I23" s="18" t="s">
        <v>146</v>
      </c>
      <c r="J23" s="56"/>
    </row>
    <row r="24" spans="1:10" ht="26.25" customHeight="1" x14ac:dyDescent="0.2">
      <c r="A24" s="18" t="s">
        <v>44</v>
      </c>
      <c r="B24" s="19" t="s">
        <v>890</v>
      </c>
      <c r="C24" s="20" t="s">
        <v>902</v>
      </c>
      <c r="D24" s="21" t="s">
        <v>903</v>
      </c>
      <c r="E24" s="105"/>
      <c r="F24" s="18" t="s">
        <v>925</v>
      </c>
      <c r="G24" s="19" t="s">
        <v>926</v>
      </c>
      <c r="H24" s="18">
        <v>10</v>
      </c>
      <c r="I24" s="18" t="s">
        <v>146</v>
      </c>
      <c r="J24" s="56"/>
    </row>
    <row r="25" spans="1:10" ht="37.5" customHeight="1" x14ac:dyDescent="0.2">
      <c r="A25" s="18" t="s">
        <v>44</v>
      </c>
      <c r="B25" s="19" t="s">
        <v>890</v>
      </c>
      <c r="C25" s="20" t="s">
        <v>902</v>
      </c>
      <c r="D25" s="21" t="s">
        <v>903</v>
      </c>
      <c r="E25" s="103" t="e" vm="164">
        <v>#VALUE!</v>
      </c>
      <c r="F25" s="18">
        <v>346007</v>
      </c>
      <c r="G25" s="19" t="s">
        <v>927</v>
      </c>
      <c r="H25" s="18">
        <v>50</v>
      </c>
      <c r="I25" s="18" t="s">
        <v>146</v>
      </c>
      <c r="J25" s="56"/>
    </row>
    <row r="26" spans="1:10" ht="37.5" customHeight="1" x14ac:dyDescent="0.2">
      <c r="A26" s="18" t="s">
        <v>44</v>
      </c>
      <c r="B26" s="19" t="s">
        <v>890</v>
      </c>
      <c r="C26" s="20" t="s">
        <v>902</v>
      </c>
      <c r="D26" s="21" t="s">
        <v>903</v>
      </c>
      <c r="E26" s="105"/>
      <c r="F26" s="18" t="s">
        <v>928</v>
      </c>
      <c r="G26" s="19" t="s">
        <v>929</v>
      </c>
      <c r="H26" s="18">
        <v>50</v>
      </c>
      <c r="I26" s="18" t="s">
        <v>146</v>
      </c>
      <c r="J26" s="56"/>
    </row>
    <row r="27" spans="1:10" ht="37.5" customHeight="1" x14ac:dyDescent="0.2">
      <c r="A27" s="18" t="s">
        <v>44</v>
      </c>
      <c r="B27" s="19" t="s">
        <v>890</v>
      </c>
      <c r="C27" s="20" t="s">
        <v>902</v>
      </c>
      <c r="D27" s="21" t="s">
        <v>903</v>
      </c>
      <c r="E27" s="103" t="e" vm="165">
        <v>#VALUE!</v>
      </c>
      <c r="F27" s="18">
        <v>346012</v>
      </c>
      <c r="G27" s="19" t="s">
        <v>930</v>
      </c>
      <c r="H27" s="18">
        <v>20</v>
      </c>
      <c r="I27" s="18" t="s">
        <v>146</v>
      </c>
      <c r="J27" s="56"/>
    </row>
    <row r="28" spans="1:10" ht="37.5" customHeight="1" x14ac:dyDescent="0.2">
      <c r="A28" s="18" t="s">
        <v>44</v>
      </c>
      <c r="B28" s="19" t="s">
        <v>890</v>
      </c>
      <c r="C28" s="20" t="s">
        <v>902</v>
      </c>
      <c r="D28" s="21" t="s">
        <v>903</v>
      </c>
      <c r="E28" s="105"/>
      <c r="F28" s="18" t="s">
        <v>931</v>
      </c>
      <c r="G28" s="19" t="s">
        <v>932</v>
      </c>
      <c r="H28" s="18">
        <v>20</v>
      </c>
      <c r="I28" s="18" t="s">
        <v>146</v>
      </c>
      <c r="J28" s="56"/>
    </row>
    <row r="29" spans="1:10" ht="36" customHeight="1" x14ac:dyDescent="0.2">
      <c r="A29" s="18" t="s">
        <v>44</v>
      </c>
      <c r="B29" s="19" t="s">
        <v>890</v>
      </c>
      <c r="C29" s="20" t="s">
        <v>902</v>
      </c>
      <c r="D29" s="21" t="s">
        <v>903</v>
      </c>
      <c r="E29" s="103" t="e" vm="166">
        <v>#VALUE!</v>
      </c>
      <c r="F29" s="18">
        <v>346008</v>
      </c>
      <c r="G29" s="19" t="s">
        <v>933</v>
      </c>
      <c r="H29" s="18">
        <v>5</v>
      </c>
      <c r="I29" s="18" t="s">
        <v>146</v>
      </c>
      <c r="J29" s="56"/>
    </row>
    <row r="30" spans="1:10" ht="36" customHeight="1" x14ac:dyDescent="0.2">
      <c r="A30" s="18" t="s">
        <v>44</v>
      </c>
      <c r="B30" s="19" t="s">
        <v>890</v>
      </c>
      <c r="C30" s="20" t="s">
        <v>902</v>
      </c>
      <c r="D30" s="21" t="s">
        <v>903</v>
      </c>
      <c r="E30" s="105"/>
      <c r="F30" s="18" t="s">
        <v>934</v>
      </c>
      <c r="G30" s="19" t="s">
        <v>935</v>
      </c>
      <c r="H30" s="18">
        <v>5</v>
      </c>
      <c r="I30" s="18" t="s">
        <v>146</v>
      </c>
      <c r="J30" s="56"/>
    </row>
    <row r="31" spans="1:10" ht="33" customHeight="1" x14ac:dyDescent="0.2">
      <c r="A31" s="18" t="s">
        <v>44</v>
      </c>
      <c r="B31" s="19" t="s">
        <v>890</v>
      </c>
      <c r="C31" s="20" t="s">
        <v>902</v>
      </c>
      <c r="D31" s="21" t="s">
        <v>903</v>
      </c>
      <c r="E31" s="103" t="e" vm="167">
        <v>#VALUE!</v>
      </c>
      <c r="F31" s="18">
        <v>346009</v>
      </c>
      <c r="G31" s="19" t="s">
        <v>936</v>
      </c>
      <c r="H31" s="18">
        <v>10</v>
      </c>
      <c r="I31" s="18" t="s">
        <v>146</v>
      </c>
      <c r="J31" s="56"/>
    </row>
    <row r="32" spans="1:10" ht="33" customHeight="1" x14ac:dyDescent="0.2">
      <c r="A32" s="18" t="s">
        <v>44</v>
      </c>
      <c r="B32" s="19" t="s">
        <v>890</v>
      </c>
      <c r="C32" s="20" t="s">
        <v>902</v>
      </c>
      <c r="D32" s="21" t="s">
        <v>903</v>
      </c>
      <c r="E32" s="105"/>
      <c r="F32" s="18" t="s">
        <v>937</v>
      </c>
      <c r="G32" s="19" t="s">
        <v>938</v>
      </c>
      <c r="H32" s="18">
        <v>10</v>
      </c>
      <c r="I32" s="18" t="s">
        <v>146</v>
      </c>
      <c r="J32" s="56"/>
    </row>
    <row r="33" spans="1:10" ht="33" customHeight="1" x14ac:dyDescent="0.2">
      <c r="A33" s="18" t="s">
        <v>44</v>
      </c>
      <c r="B33" s="19" t="s">
        <v>890</v>
      </c>
      <c r="C33" s="20" t="s">
        <v>902</v>
      </c>
      <c r="D33" s="21" t="s">
        <v>903</v>
      </c>
      <c r="E33" s="113" t="e" vm="168">
        <v>#VALUE!</v>
      </c>
      <c r="F33" s="18">
        <v>46019</v>
      </c>
      <c r="G33" s="19" t="s">
        <v>939</v>
      </c>
      <c r="H33" s="18">
        <v>1</v>
      </c>
      <c r="I33" s="18" t="s">
        <v>146</v>
      </c>
      <c r="J33" s="56"/>
    </row>
    <row r="34" spans="1:10" ht="33" customHeight="1" x14ac:dyDescent="0.2">
      <c r="A34" s="18" t="s">
        <v>44</v>
      </c>
      <c r="B34" s="19" t="s">
        <v>890</v>
      </c>
      <c r="C34" s="20" t="s">
        <v>902</v>
      </c>
      <c r="D34" s="21" t="s">
        <v>903</v>
      </c>
      <c r="E34" s="105"/>
      <c r="F34" s="18" t="s">
        <v>940</v>
      </c>
      <c r="G34" s="19" t="s">
        <v>941</v>
      </c>
      <c r="H34" s="18">
        <v>1</v>
      </c>
      <c r="I34" s="18" t="s">
        <v>146</v>
      </c>
      <c r="J34" s="56"/>
    </row>
    <row r="35" spans="1:10" ht="32.25" customHeight="1" x14ac:dyDescent="0.2">
      <c r="A35" s="18" t="s">
        <v>44</v>
      </c>
      <c r="B35" s="19" t="s">
        <v>890</v>
      </c>
      <c r="C35" s="20" t="s">
        <v>902</v>
      </c>
      <c r="D35" s="21" t="s">
        <v>903</v>
      </c>
      <c r="E35" s="103" t="e" vm="169">
        <v>#VALUE!</v>
      </c>
      <c r="F35" s="18">
        <v>346010</v>
      </c>
      <c r="G35" s="19" t="s">
        <v>942</v>
      </c>
      <c r="H35" s="18">
        <v>10</v>
      </c>
      <c r="I35" s="18" t="s">
        <v>146</v>
      </c>
      <c r="J35" s="56"/>
    </row>
    <row r="36" spans="1:10" ht="32.25" customHeight="1" x14ac:dyDescent="0.2">
      <c r="A36" s="18" t="s">
        <v>44</v>
      </c>
      <c r="B36" s="19" t="s">
        <v>890</v>
      </c>
      <c r="C36" s="20" t="s">
        <v>902</v>
      </c>
      <c r="D36" s="21" t="s">
        <v>903</v>
      </c>
      <c r="E36" s="105"/>
      <c r="F36" s="18" t="s">
        <v>943</v>
      </c>
      <c r="G36" s="19" t="s">
        <v>944</v>
      </c>
      <c r="H36" s="18">
        <v>10</v>
      </c>
      <c r="I36" s="18" t="s">
        <v>146</v>
      </c>
      <c r="J36" s="56"/>
    </row>
    <row r="37" spans="1:10" ht="45" customHeight="1" x14ac:dyDescent="0.2">
      <c r="A37" s="18" t="s">
        <v>44</v>
      </c>
      <c r="B37" s="19" t="s">
        <v>890</v>
      </c>
      <c r="C37" s="20" t="s">
        <v>902</v>
      </c>
      <c r="D37" s="21" t="s">
        <v>903</v>
      </c>
      <c r="E37" s="103" t="e" vm="170">
        <v>#VALUE!</v>
      </c>
      <c r="F37" s="18">
        <v>346011</v>
      </c>
      <c r="G37" s="19" t="s">
        <v>945</v>
      </c>
      <c r="H37" s="18">
        <v>10</v>
      </c>
      <c r="I37" s="18" t="s">
        <v>146</v>
      </c>
      <c r="J37" s="56"/>
    </row>
    <row r="38" spans="1:10" ht="45" customHeight="1" x14ac:dyDescent="0.2">
      <c r="A38" s="18" t="s">
        <v>44</v>
      </c>
      <c r="B38" s="19" t="s">
        <v>890</v>
      </c>
      <c r="C38" s="20" t="s">
        <v>902</v>
      </c>
      <c r="D38" s="21" t="s">
        <v>903</v>
      </c>
      <c r="E38" s="105"/>
      <c r="F38" s="18" t="s">
        <v>946</v>
      </c>
      <c r="G38" s="19" t="s">
        <v>947</v>
      </c>
      <c r="H38" s="18">
        <v>10</v>
      </c>
      <c r="I38" s="18" t="s">
        <v>146</v>
      </c>
      <c r="J38" s="56"/>
    </row>
    <row r="39" spans="1:10" ht="27.75" customHeight="1" x14ac:dyDescent="0.2">
      <c r="A39" s="18" t="s">
        <v>44</v>
      </c>
      <c r="B39" s="19" t="s">
        <v>890</v>
      </c>
      <c r="C39" s="20" t="s">
        <v>902</v>
      </c>
      <c r="D39" s="21" t="s">
        <v>903</v>
      </c>
      <c r="E39" s="103" t="e" vm="171">
        <v>#VALUE!</v>
      </c>
      <c r="F39" s="18">
        <v>346013</v>
      </c>
      <c r="G39" s="19" t="s">
        <v>948</v>
      </c>
      <c r="H39" s="18">
        <v>10</v>
      </c>
      <c r="I39" s="18" t="s">
        <v>146</v>
      </c>
      <c r="J39" s="56"/>
    </row>
    <row r="40" spans="1:10" ht="27.75" customHeight="1" x14ac:dyDescent="0.2">
      <c r="A40" s="18" t="s">
        <v>44</v>
      </c>
      <c r="B40" s="19" t="s">
        <v>890</v>
      </c>
      <c r="C40" s="20" t="s">
        <v>902</v>
      </c>
      <c r="D40" s="21" t="s">
        <v>903</v>
      </c>
      <c r="E40" s="105"/>
      <c r="F40" s="18" t="s">
        <v>949</v>
      </c>
      <c r="G40" s="19" t="s">
        <v>950</v>
      </c>
      <c r="H40" s="18">
        <v>10</v>
      </c>
      <c r="I40" s="18" t="s">
        <v>146</v>
      </c>
      <c r="J40" s="56"/>
    </row>
    <row r="41" spans="1:10" ht="42.75" customHeight="1" x14ac:dyDescent="0.2">
      <c r="A41" s="18" t="s">
        <v>44</v>
      </c>
      <c r="B41" s="19" t="s">
        <v>890</v>
      </c>
      <c r="C41" s="20" t="s">
        <v>902</v>
      </c>
      <c r="D41" s="21" t="s">
        <v>903</v>
      </c>
      <c r="E41" s="76" t="e" vm="172">
        <v>#VALUE!</v>
      </c>
      <c r="F41" s="18">
        <v>346017</v>
      </c>
      <c r="G41" s="19" t="s">
        <v>951</v>
      </c>
      <c r="H41" s="18">
        <v>1</v>
      </c>
      <c r="I41" s="18" t="s">
        <v>146</v>
      </c>
      <c r="J41" s="56"/>
    </row>
    <row r="42" spans="1:10" ht="24" customHeight="1" x14ac:dyDescent="0.2">
      <c r="A42" s="18" t="s">
        <v>44</v>
      </c>
      <c r="B42" s="19" t="s">
        <v>890</v>
      </c>
      <c r="C42" s="19" t="s">
        <v>902</v>
      </c>
      <c r="D42" s="18" t="s">
        <v>77</v>
      </c>
      <c r="E42" s="111" t="e" vm="173">
        <v>#VALUE!</v>
      </c>
      <c r="F42" s="18">
        <v>346020</v>
      </c>
      <c r="G42" s="19" t="s">
        <v>952</v>
      </c>
      <c r="H42" s="18">
        <v>10</v>
      </c>
      <c r="I42" s="18" t="s">
        <v>146</v>
      </c>
      <c r="J42" s="56"/>
    </row>
    <row r="43" spans="1:10" ht="24" customHeight="1" x14ac:dyDescent="0.2">
      <c r="A43" s="18" t="s">
        <v>44</v>
      </c>
      <c r="B43" s="19" t="s">
        <v>890</v>
      </c>
      <c r="C43" s="19" t="s">
        <v>902</v>
      </c>
      <c r="D43" s="18" t="s">
        <v>77</v>
      </c>
      <c r="E43" s="111"/>
      <c r="F43" s="18" t="s">
        <v>953</v>
      </c>
      <c r="G43" s="19" t="s">
        <v>954</v>
      </c>
      <c r="H43" s="18">
        <v>10</v>
      </c>
      <c r="I43" s="18" t="s">
        <v>146</v>
      </c>
      <c r="J43" s="56"/>
    </row>
    <row r="44" spans="1:10" ht="18.75" customHeight="1" x14ac:dyDescent="0.2">
      <c r="A44" s="18" t="s">
        <v>44</v>
      </c>
      <c r="B44" s="19" t="s">
        <v>890</v>
      </c>
      <c r="C44" s="19" t="s">
        <v>902</v>
      </c>
      <c r="D44" s="18" t="s">
        <v>77</v>
      </c>
      <c r="E44" s="111" t="e" vm="174">
        <v>#VALUE!</v>
      </c>
      <c r="F44" s="18">
        <v>346022</v>
      </c>
      <c r="G44" s="19" t="s">
        <v>955</v>
      </c>
      <c r="H44" s="18">
        <v>10</v>
      </c>
      <c r="I44" s="18" t="s">
        <v>146</v>
      </c>
      <c r="J44" s="56"/>
    </row>
    <row r="45" spans="1:10" ht="18.75" customHeight="1" x14ac:dyDescent="0.2">
      <c r="A45" s="18" t="s">
        <v>44</v>
      </c>
      <c r="B45" s="19" t="s">
        <v>890</v>
      </c>
      <c r="C45" s="19" t="s">
        <v>902</v>
      </c>
      <c r="D45" s="18" t="s">
        <v>77</v>
      </c>
      <c r="E45" s="111"/>
      <c r="F45" s="18" t="s">
        <v>956</v>
      </c>
      <c r="G45" s="19" t="s">
        <v>957</v>
      </c>
      <c r="H45" s="18">
        <v>10</v>
      </c>
      <c r="I45" s="18" t="s">
        <v>146</v>
      </c>
      <c r="J45" s="56"/>
    </row>
    <row r="46" spans="1:10" ht="31.5" customHeight="1" x14ac:dyDescent="0.2">
      <c r="A46" s="18" t="s">
        <v>44</v>
      </c>
      <c r="B46" s="19" t="s">
        <v>890</v>
      </c>
      <c r="C46" s="20" t="s">
        <v>902</v>
      </c>
      <c r="D46" s="21" t="s">
        <v>903</v>
      </c>
      <c r="E46" s="76" t="e" vm="175">
        <v>#VALUE!</v>
      </c>
      <c r="F46" s="18">
        <v>346016</v>
      </c>
      <c r="G46" s="19" t="s">
        <v>958</v>
      </c>
      <c r="H46" s="18">
        <v>10</v>
      </c>
      <c r="I46" s="18" t="s">
        <v>146</v>
      </c>
      <c r="J46" s="56"/>
    </row>
    <row r="47" spans="1:10" ht="15.75" customHeight="1" x14ac:dyDescent="0.2">
      <c r="A47" s="40"/>
      <c r="B47" s="41"/>
      <c r="C47" s="41"/>
      <c r="D47" s="42"/>
      <c r="E47" s="80"/>
      <c r="F47" s="42"/>
      <c r="G47" s="42"/>
      <c r="H47" s="41"/>
      <c r="I47" s="42"/>
    </row>
  </sheetData>
  <mergeCells count="21">
    <mergeCell ref="B1:I1"/>
    <mergeCell ref="E27:E28"/>
    <mergeCell ref="E7:E8"/>
    <mergeCell ref="E25:E26"/>
    <mergeCell ref="E21:E22"/>
    <mergeCell ref="E3:E6"/>
    <mergeCell ref="E44:E45"/>
    <mergeCell ref="E35:E36"/>
    <mergeCell ref="E9:E10"/>
    <mergeCell ref="E15:E16"/>
    <mergeCell ref="E31:E32"/>
    <mergeCell ref="E11:E12"/>
    <mergeCell ref="E37:E38"/>
    <mergeCell ref="E17:E18"/>
    <mergeCell ref="E39:E40"/>
    <mergeCell ref="E13:E14"/>
    <mergeCell ref="E42:E43"/>
    <mergeCell ref="E33:E34"/>
    <mergeCell ref="E29:E30"/>
    <mergeCell ref="E23:E24"/>
    <mergeCell ref="E19:E20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J3:J46" xr:uid="{00000000-0002-0000-0D00-000000000000}">
      <formula1>0</formula1>
    </dataValidation>
  </dataValidations>
  <hyperlinks>
    <hyperlink ref="A1" location="'Menú por Categoría'!C14" display="Volver al menú principal" xr:uid="{00000000-0004-0000-0D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F0"/>
  </sheetPr>
  <dimension ref="A1:K203"/>
  <sheetViews>
    <sheetView showGridLines="0" zoomScale="70" zoomScaleNormal="70" workbookViewId="0">
      <pane ySplit="2" topLeftCell="A3" activePane="bottomLeft" state="frozen"/>
      <selection pane="bottomLeft" activeCell="G5" sqref="G5"/>
    </sheetView>
  </sheetViews>
  <sheetFormatPr baseColWidth="10" defaultColWidth="16" defaultRowHeight="15.75" customHeight="1" x14ac:dyDescent="0.2"/>
  <cols>
    <col min="1" max="1" width="22.5" style="10" customWidth="1"/>
    <col min="2" max="2" width="41.83203125" style="11" customWidth="1"/>
    <col min="3" max="3" width="29.5" style="11" customWidth="1"/>
    <col min="4" max="4" width="11.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0.1640625" style="10" customWidth="1"/>
    <col min="11" max="11" width="16" style="10" customWidth="1"/>
    <col min="12" max="16384" width="16" style="10"/>
  </cols>
  <sheetData>
    <row r="1" spans="1:11" ht="72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  <c r="J1" s="44"/>
    </row>
    <row r="2" spans="1:11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44"/>
      <c r="K2" s="55" t="s">
        <v>1429</v>
      </c>
    </row>
    <row r="3" spans="1:11" ht="32.25" customHeight="1" x14ac:dyDescent="0.2">
      <c r="A3" s="18" t="s">
        <v>44</v>
      </c>
      <c r="B3" s="19" t="s">
        <v>959</v>
      </c>
      <c r="C3" s="19" t="s">
        <v>960</v>
      </c>
      <c r="D3" s="18" t="s">
        <v>46</v>
      </c>
      <c r="E3" s="107" t="e" vm="176">
        <v>#VALUE!</v>
      </c>
      <c r="F3" s="18">
        <v>15562</v>
      </c>
      <c r="G3" s="19" t="s">
        <v>961</v>
      </c>
      <c r="H3" s="18">
        <v>1</v>
      </c>
      <c r="I3" s="18" t="s">
        <v>146</v>
      </c>
      <c r="J3" s="44"/>
      <c r="K3" s="56"/>
    </row>
    <row r="4" spans="1:11" ht="32.25" customHeight="1" x14ac:dyDescent="0.2">
      <c r="A4" s="18" t="s">
        <v>44</v>
      </c>
      <c r="B4" s="19" t="s">
        <v>959</v>
      </c>
      <c r="C4" s="19" t="s">
        <v>960</v>
      </c>
      <c r="D4" s="18" t="s">
        <v>46</v>
      </c>
      <c r="E4" s="108"/>
      <c r="F4" s="18">
        <v>15563</v>
      </c>
      <c r="G4" s="19" t="s">
        <v>962</v>
      </c>
      <c r="H4" s="18">
        <v>1</v>
      </c>
      <c r="I4" s="18" t="s">
        <v>146</v>
      </c>
      <c r="J4" s="44"/>
      <c r="K4" s="56"/>
    </row>
    <row r="5" spans="1:11" ht="32.25" customHeight="1" x14ac:dyDescent="0.2">
      <c r="A5" s="18" t="s">
        <v>44</v>
      </c>
      <c r="B5" s="19" t="s">
        <v>959</v>
      </c>
      <c r="C5" s="19" t="s">
        <v>960</v>
      </c>
      <c r="D5" s="18" t="s">
        <v>46</v>
      </c>
      <c r="E5" s="108"/>
      <c r="F5" s="18">
        <v>15506</v>
      </c>
      <c r="G5" s="19" t="s">
        <v>963</v>
      </c>
      <c r="H5" s="18">
        <v>1</v>
      </c>
      <c r="I5" s="18" t="s">
        <v>146</v>
      </c>
      <c r="J5" s="44"/>
      <c r="K5" s="56"/>
    </row>
    <row r="6" spans="1:11" ht="32.25" customHeight="1" x14ac:dyDescent="0.2">
      <c r="A6" s="18" t="s">
        <v>44</v>
      </c>
      <c r="B6" s="19" t="s">
        <v>959</v>
      </c>
      <c r="C6" s="19" t="s">
        <v>960</v>
      </c>
      <c r="D6" s="18" t="s">
        <v>46</v>
      </c>
      <c r="E6" s="108"/>
      <c r="F6" s="18">
        <v>15509</v>
      </c>
      <c r="G6" s="19" t="s">
        <v>964</v>
      </c>
      <c r="H6" s="18">
        <v>1</v>
      </c>
      <c r="I6" s="18" t="s">
        <v>146</v>
      </c>
      <c r="J6" s="44"/>
      <c r="K6" s="56"/>
    </row>
    <row r="7" spans="1:11" ht="32.25" customHeight="1" x14ac:dyDescent="0.2">
      <c r="A7" s="18" t="s">
        <v>44</v>
      </c>
      <c r="B7" s="19" t="s">
        <v>959</v>
      </c>
      <c r="C7" s="19" t="s">
        <v>965</v>
      </c>
      <c r="D7" s="18" t="s">
        <v>77</v>
      </c>
      <c r="E7" s="107" t="e" vm="177">
        <v>#VALUE!</v>
      </c>
      <c r="F7" s="18">
        <v>15570</v>
      </c>
      <c r="G7" s="19" t="s">
        <v>966</v>
      </c>
      <c r="H7" s="18">
        <v>1</v>
      </c>
      <c r="I7" s="18" t="s">
        <v>146</v>
      </c>
      <c r="J7" s="44"/>
      <c r="K7" s="56"/>
    </row>
    <row r="8" spans="1:11" ht="32.25" customHeight="1" x14ac:dyDescent="0.2">
      <c r="A8" s="18" t="s">
        <v>44</v>
      </c>
      <c r="B8" s="19" t="s">
        <v>959</v>
      </c>
      <c r="C8" s="19" t="s">
        <v>965</v>
      </c>
      <c r="D8" s="18" t="s">
        <v>77</v>
      </c>
      <c r="E8" s="108"/>
      <c r="F8" s="18">
        <v>15571</v>
      </c>
      <c r="G8" s="19" t="s">
        <v>967</v>
      </c>
      <c r="H8" s="18">
        <v>1</v>
      </c>
      <c r="I8" s="18" t="s">
        <v>146</v>
      </c>
      <c r="J8" s="44"/>
      <c r="K8" s="56"/>
    </row>
    <row r="9" spans="1:11" ht="32.25" customHeight="1" x14ac:dyDescent="0.2">
      <c r="A9" s="18" t="s">
        <v>44</v>
      </c>
      <c r="B9" s="19" t="s">
        <v>959</v>
      </c>
      <c r="C9" s="19" t="s">
        <v>965</v>
      </c>
      <c r="D9" s="18" t="s">
        <v>77</v>
      </c>
      <c r="E9" s="73" t="e" vm="178">
        <v>#VALUE!</v>
      </c>
      <c r="F9" s="18">
        <v>15572</v>
      </c>
      <c r="G9" s="19" t="s">
        <v>968</v>
      </c>
      <c r="H9" s="18">
        <v>100</v>
      </c>
      <c r="I9" s="18" t="s">
        <v>48</v>
      </c>
      <c r="J9" s="44"/>
      <c r="K9" s="56"/>
    </row>
    <row r="10" spans="1:11" ht="32.25" customHeight="1" x14ac:dyDescent="0.2">
      <c r="A10" s="18" t="s">
        <v>44</v>
      </c>
      <c r="B10" s="19" t="s">
        <v>959</v>
      </c>
      <c r="C10" s="19" t="s">
        <v>965</v>
      </c>
      <c r="D10" s="18" t="s">
        <v>77</v>
      </c>
      <c r="E10" s="76" t="e" vm="179">
        <v>#VALUE!</v>
      </c>
      <c r="F10" s="18">
        <v>15573</v>
      </c>
      <c r="G10" s="19" t="s">
        <v>969</v>
      </c>
      <c r="H10" s="18">
        <v>100</v>
      </c>
      <c r="I10" s="18" t="s">
        <v>48</v>
      </c>
      <c r="J10" s="44"/>
      <c r="K10" s="56"/>
    </row>
    <row r="11" spans="1:11" ht="32.25" customHeight="1" x14ac:dyDescent="0.2">
      <c r="A11" s="18" t="s">
        <v>44</v>
      </c>
      <c r="B11" s="19" t="s">
        <v>959</v>
      </c>
      <c r="C11" s="19" t="s">
        <v>965</v>
      </c>
      <c r="D11" s="18" t="s">
        <v>77</v>
      </c>
      <c r="E11" s="76" t="e" vm="180">
        <v>#VALUE!</v>
      </c>
      <c r="F11" s="18">
        <v>15574</v>
      </c>
      <c r="G11" s="19" t="s">
        <v>970</v>
      </c>
      <c r="H11" s="18">
        <v>100</v>
      </c>
      <c r="I11" s="18" t="s">
        <v>48</v>
      </c>
      <c r="J11" s="44"/>
      <c r="K11" s="56"/>
    </row>
    <row r="12" spans="1:11" ht="32.25" customHeight="1" x14ac:dyDescent="0.2">
      <c r="A12" s="18" t="s">
        <v>44</v>
      </c>
      <c r="B12" s="19" t="s">
        <v>959</v>
      </c>
      <c r="C12" s="19" t="s">
        <v>965</v>
      </c>
      <c r="D12" s="18" t="s">
        <v>77</v>
      </c>
      <c r="E12" s="76" t="e" vm="181">
        <v>#VALUE!</v>
      </c>
      <c r="F12" s="18">
        <v>15575</v>
      </c>
      <c r="G12" s="19" t="s">
        <v>971</v>
      </c>
      <c r="H12" s="18">
        <v>50</v>
      </c>
      <c r="I12" s="18" t="s">
        <v>48</v>
      </c>
      <c r="J12" s="44"/>
      <c r="K12" s="56"/>
    </row>
    <row r="13" spans="1:11" ht="32.25" customHeight="1" x14ac:dyDescent="0.2">
      <c r="A13" s="18" t="s">
        <v>44</v>
      </c>
      <c r="B13" s="19" t="s">
        <v>959</v>
      </c>
      <c r="C13" s="19" t="s">
        <v>965</v>
      </c>
      <c r="D13" s="18" t="s">
        <v>77</v>
      </c>
      <c r="E13" s="76" t="e" vm="182">
        <v>#VALUE!</v>
      </c>
      <c r="F13" s="18">
        <v>15576</v>
      </c>
      <c r="G13" s="19" t="s">
        <v>972</v>
      </c>
      <c r="H13" s="18">
        <v>100</v>
      </c>
      <c r="I13" s="18" t="s">
        <v>48</v>
      </c>
      <c r="J13" s="44"/>
      <c r="K13" s="56"/>
    </row>
    <row r="14" spans="1:11" ht="32.25" customHeight="1" x14ac:dyDescent="0.2">
      <c r="A14" s="18" t="s">
        <v>44</v>
      </c>
      <c r="B14" s="19" t="s">
        <v>959</v>
      </c>
      <c r="C14" s="19" t="s">
        <v>965</v>
      </c>
      <c r="D14" s="18" t="s">
        <v>77</v>
      </c>
      <c r="E14" s="76" t="e" vm="183">
        <v>#VALUE!</v>
      </c>
      <c r="F14" s="18">
        <v>15577</v>
      </c>
      <c r="G14" s="19" t="s">
        <v>973</v>
      </c>
      <c r="H14" s="18">
        <v>1000</v>
      </c>
      <c r="I14" s="18" t="s">
        <v>48</v>
      </c>
      <c r="J14" s="44"/>
      <c r="K14" s="56"/>
    </row>
    <row r="15" spans="1:11" ht="32.25" customHeight="1" x14ac:dyDescent="0.2">
      <c r="A15" s="18" t="s">
        <v>44</v>
      </c>
      <c r="B15" s="19" t="s">
        <v>959</v>
      </c>
      <c r="C15" s="19" t="s">
        <v>965</v>
      </c>
      <c r="D15" s="18" t="s">
        <v>77</v>
      </c>
      <c r="E15" s="76" t="e" vm="184">
        <v>#VALUE!</v>
      </c>
      <c r="F15" s="18">
        <v>15578</v>
      </c>
      <c r="G15" s="19" t="s">
        <v>974</v>
      </c>
      <c r="H15" s="18">
        <v>250</v>
      </c>
      <c r="I15" s="18" t="s">
        <v>48</v>
      </c>
      <c r="J15" s="44"/>
      <c r="K15" s="56"/>
    </row>
    <row r="16" spans="1:11" ht="32.25" customHeight="1" x14ac:dyDescent="0.2">
      <c r="A16" s="18" t="s">
        <v>44</v>
      </c>
      <c r="B16" s="19" t="s">
        <v>959</v>
      </c>
      <c r="C16" s="19" t="s">
        <v>965</v>
      </c>
      <c r="D16" s="18" t="s">
        <v>77</v>
      </c>
      <c r="E16" s="76" t="e" vm="185">
        <v>#VALUE!</v>
      </c>
      <c r="F16" s="18">
        <v>15579</v>
      </c>
      <c r="G16" s="19" t="s">
        <v>975</v>
      </c>
      <c r="H16" s="18">
        <v>100</v>
      </c>
      <c r="I16" s="18" t="s">
        <v>48</v>
      </c>
      <c r="J16" s="44"/>
      <c r="K16" s="56"/>
    </row>
    <row r="17" spans="1:11" ht="32.25" customHeight="1" x14ac:dyDescent="0.2">
      <c r="A17" s="18" t="s">
        <v>44</v>
      </c>
      <c r="B17" s="19" t="s">
        <v>959</v>
      </c>
      <c r="C17" s="19" t="s">
        <v>965</v>
      </c>
      <c r="D17" s="18" t="s">
        <v>77</v>
      </c>
      <c r="E17" s="76" t="e" vm="186">
        <v>#VALUE!</v>
      </c>
      <c r="F17" s="18">
        <v>15581</v>
      </c>
      <c r="G17" s="19" t="s">
        <v>976</v>
      </c>
      <c r="H17" s="18">
        <v>35</v>
      </c>
      <c r="I17" s="18" t="s">
        <v>48</v>
      </c>
      <c r="J17" s="44"/>
      <c r="K17" s="56"/>
    </row>
    <row r="18" spans="1:11" ht="45" customHeight="1" x14ac:dyDescent="0.2">
      <c r="A18" s="18" t="s">
        <v>44</v>
      </c>
      <c r="B18" s="19" t="s">
        <v>959</v>
      </c>
      <c r="C18" s="19" t="s">
        <v>965</v>
      </c>
      <c r="D18" s="18" t="s">
        <v>77</v>
      </c>
      <c r="E18" s="23" t="e" vm="187">
        <v>#VALUE!</v>
      </c>
      <c r="F18" s="18">
        <v>15582</v>
      </c>
      <c r="G18" s="19" t="s">
        <v>977</v>
      </c>
      <c r="H18" s="18">
        <v>1</v>
      </c>
      <c r="I18" s="18" t="s">
        <v>146</v>
      </c>
      <c r="J18" s="44"/>
      <c r="K18" s="56"/>
    </row>
    <row r="19" spans="1:11" ht="32.25" customHeight="1" x14ac:dyDescent="0.2">
      <c r="A19" s="18" t="s">
        <v>44</v>
      </c>
      <c r="B19" s="19" t="s">
        <v>959</v>
      </c>
      <c r="C19" s="19" t="s">
        <v>965</v>
      </c>
      <c r="D19" s="18" t="s">
        <v>978</v>
      </c>
      <c r="E19" s="76" t="e" vm="188">
        <v>#VALUE!</v>
      </c>
      <c r="F19" s="18">
        <v>15580</v>
      </c>
      <c r="G19" s="19" t="s">
        <v>979</v>
      </c>
      <c r="H19" s="18">
        <v>1</v>
      </c>
      <c r="I19" s="18" t="s">
        <v>146</v>
      </c>
      <c r="J19" s="44"/>
      <c r="K19" s="56"/>
    </row>
    <row r="20" spans="1:11" ht="15.75" customHeight="1" x14ac:dyDescent="0.2">
      <c r="A20" s="18" t="s">
        <v>44</v>
      </c>
      <c r="B20" s="19" t="s">
        <v>959</v>
      </c>
      <c r="C20" s="19" t="s">
        <v>980</v>
      </c>
      <c r="D20" s="18" t="s">
        <v>77</v>
      </c>
      <c r="E20" s="120" t="e" vm="189">
        <v>#VALUE!</v>
      </c>
      <c r="F20" s="18">
        <v>63400</v>
      </c>
      <c r="G20" s="19" t="s">
        <v>981</v>
      </c>
      <c r="H20" s="18">
        <v>20</v>
      </c>
      <c r="I20" s="18" t="s">
        <v>48</v>
      </c>
      <c r="J20" s="44"/>
      <c r="K20" s="56"/>
    </row>
    <row r="21" spans="1:11" ht="15.75" customHeight="1" x14ac:dyDescent="0.2">
      <c r="A21" s="18" t="s">
        <v>44</v>
      </c>
      <c r="B21" s="19" t="s">
        <v>959</v>
      </c>
      <c r="C21" s="19" t="s">
        <v>980</v>
      </c>
      <c r="D21" s="18" t="s">
        <v>77</v>
      </c>
      <c r="E21" s="109"/>
      <c r="F21" s="18">
        <v>63401</v>
      </c>
      <c r="G21" s="19" t="s">
        <v>982</v>
      </c>
      <c r="H21" s="18">
        <v>10</v>
      </c>
      <c r="I21" s="18" t="s">
        <v>48</v>
      </c>
      <c r="J21" s="44"/>
      <c r="K21" s="56"/>
    </row>
    <row r="22" spans="1:11" ht="15.75" customHeight="1" x14ac:dyDescent="0.2">
      <c r="A22" s="18" t="s">
        <v>44</v>
      </c>
      <c r="B22" s="19" t="s">
        <v>959</v>
      </c>
      <c r="C22" s="19" t="s">
        <v>980</v>
      </c>
      <c r="D22" s="18" t="s">
        <v>77</v>
      </c>
      <c r="E22" s="109"/>
      <c r="F22" s="18">
        <v>63402</v>
      </c>
      <c r="G22" s="19" t="s">
        <v>983</v>
      </c>
      <c r="H22" s="18">
        <v>7</v>
      </c>
      <c r="I22" s="18" t="s">
        <v>48</v>
      </c>
      <c r="J22" s="44"/>
      <c r="K22" s="56"/>
    </row>
    <row r="23" spans="1:11" ht="15.75" customHeight="1" x14ac:dyDescent="0.2">
      <c r="A23" s="18" t="s">
        <v>44</v>
      </c>
      <c r="B23" s="19" t="s">
        <v>959</v>
      </c>
      <c r="C23" s="19" t="s">
        <v>980</v>
      </c>
      <c r="D23" s="18" t="s">
        <v>77</v>
      </c>
      <c r="E23" s="109"/>
      <c r="F23" s="18">
        <v>63403</v>
      </c>
      <c r="G23" s="19" t="s">
        <v>984</v>
      </c>
      <c r="H23" s="18">
        <v>4</v>
      </c>
      <c r="I23" s="18" t="s">
        <v>48</v>
      </c>
      <c r="J23" s="44"/>
      <c r="K23" s="56"/>
    </row>
    <row r="24" spans="1:11" ht="15.75" customHeight="1" x14ac:dyDescent="0.2">
      <c r="A24" s="18" t="s">
        <v>44</v>
      </c>
      <c r="B24" s="19" t="s">
        <v>959</v>
      </c>
      <c r="C24" s="19" t="s">
        <v>980</v>
      </c>
      <c r="D24" s="18" t="s">
        <v>77</v>
      </c>
      <c r="E24" s="109"/>
      <c r="F24" s="18">
        <v>63404</v>
      </c>
      <c r="G24" s="19" t="s">
        <v>985</v>
      </c>
      <c r="H24" s="18">
        <v>1</v>
      </c>
      <c r="I24" s="18" t="s">
        <v>48</v>
      </c>
      <c r="J24" s="44"/>
      <c r="K24" s="56"/>
    </row>
    <row r="25" spans="1:11" ht="15.75" customHeight="1" x14ac:dyDescent="0.2">
      <c r="A25" s="18" t="s">
        <v>44</v>
      </c>
      <c r="B25" s="19" t="s">
        <v>959</v>
      </c>
      <c r="C25" s="19" t="s">
        <v>980</v>
      </c>
      <c r="D25" s="18" t="s">
        <v>77</v>
      </c>
      <c r="E25" s="109"/>
      <c r="F25" s="18">
        <v>63405</v>
      </c>
      <c r="G25" s="19" t="s">
        <v>986</v>
      </c>
      <c r="H25" s="18">
        <v>1</v>
      </c>
      <c r="I25" s="18" t="s">
        <v>48</v>
      </c>
      <c r="J25" s="44"/>
      <c r="K25" s="56"/>
    </row>
    <row r="26" spans="1:11" ht="15.75" customHeight="1" x14ac:dyDescent="0.2">
      <c r="A26" s="18" t="s">
        <v>44</v>
      </c>
      <c r="B26" s="19" t="s">
        <v>959</v>
      </c>
      <c r="C26" s="19" t="s">
        <v>980</v>
      </c>
      <c r="D26" s="18" t="s">
        <v>77</v>
      </c>
      <c r="E26" s="107" t="e" vm="190">
        <v>#VALUE!</v>
      </c>
      <c r="F26" s="18">
        <v>63410</v>
      </c>
      <c r="G26" s="19" t="s">
        <v>987</v>
      </c>
      <c r="H26" s="18">
        <v>15</v>
      </c>
      <c r="I26" s="18" t="s">
        <v>48</v>
      </c>
      <c r="J26" s="44"/>
      <c r="K26" s="56"/>
    </row>
    <row r="27" spans="1:11" ht="15.75" customHeight="1" x14ac:dyDescent="0.2">
      <c r="A27" s="18" t="s">
        <v>44</v>
      </c>
      <c r="B27" s="19" t="s">
        <v>959</v>
      </c>
      <c r="C27" s="19" t="s">
        <v>980</v>
      </c>
      <c r="D27" s="18" t="s">
        <v>77</v>
      </c>
      <c r="E27" s="108"/>
      <c r="F27" s="18">
        <v>63411</v>
      </c>
      <c r="G27" s="19" t="s">
        <v>988</v>
      </c>
      <c r="H27" s="18">
        <v>8</v>
      </c>
      <c r="I27" s="18" t="s">
        <v>48</v>
      </c>
      <c r="J27" s="44"/>
      <c r="K27" s="56"/>
    </row>
    <row r="28" spans="1:11" ht="15.75" customHeight="1" x14ac:dyDescent="0.2">
      <c r="A28" s="18" t="s">
        <v>44</v>
      </c>
      <c r="B28" s="19" t="s">
        <v>959</v>
      </c>
      <c r="C28" s="19" t="s">
        <v>980</v>
      </c>
      <c r="D28" s="18" t="s">
        <v>77</v>
      </c>
      <c r="E28" s="108"/>
      <c r="F28" s="18">
        <v>63412</v>
      </c>
      <c r="G28" s="19" t="s">
        <v>989</v>
      </c>
      <c r="H28" s="18">
        <v>8</v>
      </c>
      <c r="I28" s="18" t="s">
        <v>48</v>
      </c>
      <c r="J28" s="44"/>
      <c r="K28" s="56"/>
    </row>
    <row r="29" spans="1:11" ht="15.75" customHeight="1" x14ac:dyDescent="0.2">
      <c r="A29" s="18" t="s">
        <v>44</v>
      </c>
      <c r="B29" s="19" t="s">
        <v>959</v>
      </c>
      <c r="C29" s="19" t="s">
        <v>980</v>
      </c>
      <c r="D29" s="18" t="s">
        <v>77</v>
      </c>
      <c r="E29" s="108"/>
      <c r="F29" s="18">
        <v>63413</v>
      </c>
      <c r="G29" s="19" t="s">
        <v>990</v>
      </c>
      <c r="H29" s="18">
        <v>5</v>
      </c>
      <c r="I29" s="18" t="s">
        <v>48</v>
      </c>
      <c r="J29" s="44"/>
      <c r="K29" s="56"/>
    </row>
    <row r="30" spans="1:11" ht="15.75" customHeight="1" x14ac:dyDescent="0.2">
      <c r="A30" s="18" t="s">
        <v>44</v>
      </c>
      <c r="B30" s="19" t="s">
        <v>959</v>
      </c>
      <c r="C30" s="19" t="s">
        <v>980</v>
      </c>
      <c r="D30" s="18" t="s">
        <v>77</v>
      </c>
      <c r="E30" s="108"/>
      <c r="F30" s="18">
        <v>63414</v>
      </c>
      <c r="G30" s="19" t="s">
        <v>991</v>
      </c>
      <c r="H30" s="18">
        <v>4</v>
      </c>
      <c r="I30" s="18" t="s">
        <v>48</v>
      </c>
      <c r="J30" s="44"/>
      <c r="K30" s="56"/>
    </row>
    <row r="31" spans="1:11" ht="15.75" customHeight="1" x14ac:dyDescent="0.2">
      <c r="A31" s="18" t="s">
        <v>44</v>
      </c>
      <c r="B31" s="19" t="s">
        <v>959</v>
      </c>
      <c r="C31" s="19" t="s">
        <v>980</v>
      </c>
      <c r="D31" s="18" t="s">
        <v>77</v>
      </c>
      <c r="E31" s="108"/>
      <c r="F31" s="18">
        <v>63415</v>
      </c>
      <c r="G31" s="19" t="s">
        <v>992</v>
      </c>
      <c r="H31" s="18">
        <v>1</v>
      </c>
      <c r="I31" s="18" t="s">
        <v>48</v>
      </c>
      <c r="J31" s="44"/>
      <c r="K31" s="56"/>
    </row>
    <row r="32" spans="1:11" ht="15.75" customHeight="1" x14ac:dyDescent="0.2">
      <c r="A32" s="18" t="s">
        <v>44</v>
      </c>
      <c r="B32" s="19" t="s">
        <v>959</v>
      </c>
      <c r="C32" s="19" t="s">
        <v>980</v>
      </c>
      <c r="D32" s="18" t="s">
        <v>77</v>
      </c>
      <c r="E32" s="108"/>
      <c r="F32" s="18">
        <v>63416</v>
      </c>
      <c r="G32" s="19" t="s">
        <v>993</v>
      </c>
      <c r="H32" s="18">
        <v>1</v>
      </c>
      <c r="I32" s="18" t="s">
        <v>48</v>
      </c>
      <c r="J32" s="44"/>
      <c r="K32" s="56"/>
    </row>
    <row r="33" spans="1:11" ht="15.75" customHeight="1" x14ac:dyDescent="0.2">
      <c r="A33" s="18" t="s">
        <v>44</v>
      </c>
      <c r="B33" s="19" t="s">
        <v>959</v>
      </c>
      <c r="C33" s="19" t="s">
        <v>980</v>
      </c>
      <c r="D33" s="18" t="s">
        <v>77</v>
      </c>
      <c r="E33" s="108"/>
      <c r="F33" s="18">
        <v>63417</v>
      </c>
      <c r="G33" s="19" t="s">
        <v>994</v>
      </c>
      <c r="H33" s="18">
        <v>1</v>
      </c>
      <c r="I33" s="18" t="s">
        <v>48</v>
      </c>
      <c r="J33" s="44"/>
      <c r="K33" s="56"/>
    </row>
    <row r="34" spans="1:11" ht="15.75" customHeight="1" x14ac:dyDescent="0.2">
      <c r="A34" s="18" t="s">
        <v>44</v>
      </c>
      <c r="B34" s="19" t="s">
        <v>959</v>
      </c>
      <c r="C34" s="19" t="s">
        <v>980</v>
      </c>
      <c r="D34" s="18" t="s">
        <v>77</v>
      </c>
      <c r="E34" s="108"/>
      <c r="F34" s="18">
        <v>63418</v>
      </c>
      <c r="G34" s="19" t="s">
        <v>995</v>
      </c>
      <c r="H34" s="18">
        <v>1</v>
      </c>
      <c r="I34" s="18" t="s">
        <v>48</v>
      </c>
      <c r="J34" s="44"/>
      <c r="K34" s="56"/>
    </row>
    <row r="35" spans="1:11" ht="15.75" customHeight="1" x14ac:dyDescent="0.2">
      <c r="A35" s="18" t="s">
        <v>44</v>
      </c>
      <c r="B35" s="19" t="s">
        <v>959</v>
      </c>
      <c r="C35" s="19" t="s">
        <v>980</v>
      </c>
      <c r="D35" s="18" t="s">
        <v>77</v>
      </c>
      <c r="E35" s="108"/>
      <c r="F35" s="18">
        <v>63419</v>
      </c>
      <c r="G35" s="19" t="s">
        <v>996</v>
      </c>
      <c r="H35" s="18">
        <v>1</v>
      </c>
      <c r="I35" s="18" t="s">
        <v>48</v>
      </c>
      <c r="J35" s="44"/>
      <c r="K35" s="56"/>
    </row>
    <row r="36" spans="1:11" ht="15.75" customHeight="1" x14ac:dyDescent="0.2">
      <c r="A36" s="18" t="s">
        <v>44</v>
      </c>
      <c r="B36" s="19" t="s">
        <v>959</v>
      </c>
      <c r="C36" s="19" t="s">
        <v>980</v>
      </c>
      <c r="D36" s="18" t="s">
        <v>77</v>
      </c>
      <c r="E36" s="108"/>
      <c r="F36" s="18">
        <v>63420</v>
      </c>
      <c r="G36" s="19" t="s">
        <v>997</v>
      </c>
      <c r="H36" s="18">
        <v>1</v>
      </c>
      <c r="I36" s="18" t="s">
        <v>48</v>
      </c>
      <c r="J36" s="44"/>
      <c r="K36" s="56"/>
    </row>
    <row r="37" spans="1:11" ht="15.75" customHeight="1" x14ac:dyDescent="0.2">
      <c r="A37" s="18" t="s">
        <v>44</v>
      </c>
      <c r="B37" s="19" t="s">
        <v>959</v>
      </c>
      <c r="C37" s="19" t="s">
        <v>980</v>
      </c>
      <c r="D37" s="18" t="s">
        <v>77</v>
      </c>
      <c r="E37" s="108"/>
      <c r="F37" s="18">
        <v>63421</v>
      </c>
      <c r="G37" s="19" t="s">
        <v>998</v>
      </c>
      <c r="H37" s="18">
        <v>1</v>
      </c>
      <c r="I37" s="18" t="s">
        <v>48</v>
      </c>
      <c r="J37" s="44"/>
      <c r="K37" s="56"/>
    </row>
    <row r="38" spans="1:11" ht="15.75" customHeight="1" x14ac:dyDescent="0.2">
      <c r="A38" s="18" t="s">
        <v>44</v>
      </c>
      <c r="B38" s="19" t="s">
        <v>959</v>
      </c>
      <c r="C38" s="19" t="s">
        <v>980</v>
      </c>
      <c r="D38" s="18" t="s">
        <v>77</v>
      </c>
      <c r="E38" s="108"/>
      <c r="F38" s="18">
        <v>63422</v>
      </c>
      <c r="G38" s="19" t="s">
        <v>999</v>
      </c>
      <c r="H38" s="18">
        <v>1</v>
      </c>
      <c r="I38" s="18" t="s">
        <v>48</v>
      </c>
      <c r="J38" s="44"/>
      <c r="K38" s="56"/>
    </row>
    <row r="39" spans="1:11" ht="15.75" customHeight="1" x14ac:dyDescent="0.2">
      <c r="A39" s="18" t="s">
        <v>44</v>
      </c>
      <c r="B39" s="19" t="s">
        <v>959</v>
      </c>
      <c r="C39" s="19" t="s">
        <v>980</v>
      </c>
      <c r="D39" s="18" t="s">
        <v>77</v>
      </c>
      <c r="E39" s="107" t="e" vm="191">
        <v>#VALUE!</v>
      </c>
      <c r="F39" s="18">
        <v>63503</v>
      </c>
      <c r="G39" s="19" t="s">
        <v>1000</v>
      </c>
      <c r="H39" s="18">
        <v>30</v>
      </c>
      <c r="I39" s="18" t="s">
        <v>48</v>
      </c>
      <c r="J39" s="44"/>
      <c r="K39" s="56"/>
    </row>
    <row r="40" spans="1:11" ht="15.75" customHeight="1" x14ac:dyDescent="0.2">
      <c r="A40" s="18" t="s">
        <v>44</v>
      </c>
      <c r="B40" s="19" t="s">
        <v>959</v>
      </c>
      <c r="C40" s="19" t="s">
        <v>980</v>
      </c>
      <c r="D40" s="18" t="s">
        <v>77</v>
      </c>
      <c r="E40" s="108"/>
      <c r="F40" s="18">
        <v>63506</v>
      </c>
      <c r="G40" s="19" t="s">
        <v>1001</v>
      </c>
      <c r="H40" s="18">
        <v>20</v>
      </c>
      <c r="I40" s="18" t="s">
        <v>48</v>
      </c>
      <c r="J40" s="44"/>
      <c r="K40" s="56"/>
    </row>
    <row r="41" spans="1:11" ht="15.75" customHeight="1" x14ac:dyDescent="0.2">
      <c r="A41" s="18" t="s">
        <v>44</v>
      </c>
      <c r="B41" s="19" t="s">
        <v>959</v>
      </c>
      <c r="C41" s="19" t="s">
        <v>980</v>
      </c>
      <c r="D41" s="18" t="s">
        <v>77</v>
      </c>
      <c r="E41" s="108"/>
      <c r="F41" s="18">
        <v>63507</v>
      </c>
      <c r="G41" s="19" t="s">
        <v>1002</v>
      </c>
      <c r="H41" s="18">
        <v>20</v>
      </c>
      <c r="I41" s="18" t="s">
        <v>48</v>
      </c>
      <c r="J41" s="44"/>
      <c r="K41" s="56"/>
    </row>
    <row r="42" spans="1:11" ht="15.75" customHeight="1" x14ac:dyDescent="0.2">
      <c r="A42" s="18" t="s">
        <v>44</v>
      </c>
      <c r="B42" s="19" t="s">
        <v>959</v>
      </c>
      <c r="C42" s="19" t="s">
        <v>980</v>
      </c>
      <c r="D42" s="18" t="s">
        <v>77</v>
      </c>
      <c r="E42" s="108"/>
      <c r="F42" s="18">
        <v>63508</v>
      </c>
      <c r="G42" s="19" t="s">
        <v>1003</v>
      </c>
      <c r="H42" s="18">
        <v>20</v>
      </c>
      <c r="I42" s="18" t="s">
        <v>48</v>
      </c>
      <c r="J42" s="44"/>
      <c r="K42" s="56"/>
    </row>
    <row r="43" spans="1:11" ht="15.75" customHeight="1" x14ac:dyDescent="0.2">
      <c r="A43" s="18" t="s">
        <v>44</v>
      </c>
      <c r="B43" s="19" t="s">
        <v>959</v>
      </c>
      <c r="C43" s="19" t="s">
        <v>980</v>
      </c>
      <c r="D43" s="18" t="s">
        <v>77</v>
      </c>
      <c r="E43" s="108"/>
      <c r="F43" s="18">
        <v>63504</v>
      </c>
      <c r="G43" s="19" t="s">
        <v>1004</v>
      </c>
      <c r="H43" s="18">
        <v>20</v>
      </c>
      <c r="I43" s="18" t="s">
        <v>48</v>
      </c>
      <c r="J43" s="44"/>
      <c r="K43" s="56"/>
    </row>
    <row r="44" spans="1:11" ht="15.75" customHeight="1" x14ac:dyDescent="0.2">
      <c r="A44" s="18" t="s">
        <v>44</v>
      </c>
      <c r="B44" s="19" t="s">
        <v>959</v>
      </c>
      <c r="C44" s="19" t="s">
        <v>980</v>
      </c>
      <c r="D44" s="18" t="s">
        <v>77</v>
      </c>
      <c r="E44" s="108"/>
      <c r="F44" s="18">
        <v>63509</v>
      </c>
      <c r="G44" s="19" t="s">
        <v>1005</v>
      </c>
      <c r="H44" s="18">
        <v>20</v>
      </c>
      <c r="I44" s="18" t="s">
        <v>48</v>
      </c>
      <c r="J44" s="44"/>
      <c r="K44" s="56"/>
    </row>
    <row r="45" spans="1:11" ht="15.75" customHeight="1" x14ac:dyDescent="0.2">
      <c r="A45" s="18" t="s">
        <v>44</v>
      </c>
      <c r="B45" s="19" t="s">
        <v>959</v>
      </c>
      <c r="C45" s="19" t="s">
        <v>980</v>
      </c>
      <c r="D45" s="18" t="s">
        <v>77</v>
      </c>
      <c r="E45" s="108"/>
      <c r="F45" s="18">
        <v>63510</v>
      </c>
      <c r="G45" s="19" t="s">
        <v>1006</v>
      </c>
      <c r="H45" s="18">
        <v>10</v>
      </c>
      <c r="I45" s="18" t="s">
        <v>48</v>
      </c>
      <c r="J45" s="44"/>
      <c r="K45" s="56"/>
    </row>
    <row r="46" spans="1:11" ht="15.75" customHeight="1" x14ac:dyDescent="0.2">
      <c r="A46" s="18" t="s">
        <v>44</v>
      </c>
      <c r="B46" s="19" t="s">
        <v>959</v>
      </c>
      <c r="C46" s="19" t="s">
        <v>980</v>
      </c>
      <c r="D46" s="18" t="s">
        <v>77</v>
      </c>
      <c r="E46" s="108"/>
      <c r="F46" s="18">
        <v>63511</v>
      </c>
      <c r="G46" s="19" t="s">
        <v>1007</v>
      </c>
      <c r="H46" s="18">
        <v>10</v>
      </c>
      <c r="I46" s="18" t="s">
        <v>48</v>
      </c>
      <c r="J46" s="44"/>
      <c r="K46" s="56"/>
    </row>
    <row r="47" spans="1:11" ht="15.75" customHeight="1" x14ac:dyDescent="0.2">
      <c r="A47" s="18" t="s">
        <v>44</v>
      </c>
      <c r="B47" s="19" t="s">
        <v>959</v>
      </c>
      <c r="C47" s="19" t="s">
        <v>980</v>
      </c>
      <c r="D47" s="18" t="s">
        <v>77</v>
      </c>
      <c r="E47" s="108"/>
      <c r="F47" s="18">
        <v>63512</v>
      </c>
      <c r="G47" s="19" t="s">
        <v>1008</v>
      </c>
      <c r="H47" s="18">
        <v>10</v>
      </c>
      <c r="I47" s="18" t="s">
        <v>48</v>
      </c>
      <c r="J47" s="44"/>
      <c r="K47" s="56"/>
    </row>
    <row r="48" spans="1:11" ht="15.75" customHeight="1" x14ac:dyDescent="0.2">
      <c r="A48" s="18" t="s">
        <v>44</v>
      </c>
      <c r="B48" s="19" t="s">
        <v>959</v>
      </c>
      <c r="C48" s="19" t="s">
        <v>980</v>
      </c>
      <c r="D48" s="18" t="s">
        <v>77</v>
      </c>
      <c r="E48" s="108"/>
      <c r="F48" s="18">
        <v>63513</v>
      </c>
      <c r="G48" s="19" t="s">
        <v>1009</v>
      </c>
      <c r="H48" s="18">
        <v>10</v>
      </c>
      <c r="I48" s="18" t="s">
        <v>48</v>
      </c>
      <c r="J48" s="44"/>
      <c r="K48" s="56"/>
    </row>
    <row r="49" spans="1:11" ht="15.75" customHeight="1" x14ac:dyDescent="0.2">
      <c r="A49" s="18" t="s">
        <v>44</v>
      </c>
      <c r="B49" s="19" t="s">
        <v>959</v>
      </c>
      <c r="C49" s="19" t="s">
        <v>980</v>
      </c>
      <c r="D49" s="18" t="s">
        <v>77</v>
      </c>
      <c r="E49" s="108"/>
      <c r="F49" s="18">
        <v>63514</v>
      </c>
      <c r="G49" s="19" t="s">
        <v>1010</v>
      </c>
      <c r="H49" s="18">
        <v>6</v>
      </c>
      <c r="I49" s="18" t="s">
        <v>48</v>
      </c>
      <c r="J49" s="44"/>
      <c r="K49" s="56"/>
    </row>
    <row r="50" spans="1:11" ht="15.75" customHeight="1" x14ac:dyDescent="0.2">
      <c r="A50" s="18" t="s">
        <v>44</v>
      </c>
      <c r="B50" s="19" t="s">
        <v>959</v>
      </c>
      <c r="C50" s="19" t="s">
        <v>980</v>
      </c>
      <c r="D50" s="18" t="s">
        <v>77</v>
      </c>
      <c r="E50" s="108"/>
      <c r="F50" s="18">
        <v>63515</v>
      </c>
      <c r="G50" s="19" t="s">
        <v>1011</v>
      </c>
      <c r="H50" s="18">
        <v>6</v>
      </c>
      <c r="I50" s="18" t="s">
        <v>48</v>
      </c>
      <c r="J50" s="44"/>
      <c r="K50" s="56"/>
    </row>
    <row r="51" spans="1:11" ht="15.75" customHeight="1" x14ac:dyDescent="0.2">
      <c r="A51" s="18" t="s">
        <v>44</v>
      </c>
      <c r="B51" s="19" t="s">
        <v>959</v>
      </c>
      <c r="C51" s="19" t="s">
        <v>980</v>
      </c>
      <c r="D51" s="18" t="s">
        <v>77</v>
      </c>
      <c r="E51" s="108"/>
      <c r="F51" s="18">
        <v>63516</v>
      </c>
      <c r="G51" s="19" t="s">
        <v>1012</v>
      </c>
      <c r="H51" s="18">
        <v>6</v>
      </c>
      <c r="I51" s="18" t="s">
        <v>48</v>
      </c>
      <c r="J51" s="44"/>
      <c r="K51" s="56"/>
    </row>
    <row r="52" spans="1:11" ht="15.75" customHeight="1" x14ac:dyDescent="0.2">
      <c r="A52" s="18" t="s">
        <v>44</v>
      </c>
      <c r="B52" s="19" t="s">
        <v>959</v>
      </c>
      <c r="C52" s="19" t="s">
        <v>980</v>
      </c>
      <c r="D52" s="18" t="s">
        <v>77</v>
      </c>
      <c r="E52" s="108"/>
      <c r="F52" s="18">
        <v>63517</v>
      </c>
      <c r="G52" s="19" t="s">
        <v>1013</v>
      </c>
      <c r="H52" s="18">
        <v>1</v>
      </c>
      <c r="I52" s="18" t="s">
        <v>48</v>
      </c>
      <c r="J52" s="44"/>
      <c r="K52" s="56"/>
    </row>
    <row r="53" spans="1:11" ht="15.75" customHeight="1" x14ac:dyDescent="0.2">
      <c r="A53" s="18" t="s">
        <v>44</v>
      </c>
      <c r="B53" s="19" t="s">
        <v>959</v>
      </c>
      <c r="C53" s="19" t="s">
        <v>980</v>
      </c>
      <c r="D53" s="18" t="s">
        <v>77</v>
      </c>
      <c r="E53" s="108"/>
      <c r="F53" s="18">
        <v>63518</v>
      </c>
      <c r="G53" s="19" t="s">
        <v>1014</v>
      </c>
      <c r="H53" s="18">
        <v>1</v>
      </c>
      <c r="I53" s="18" t="s">
        <v>48</v>
      </c>
      <c r="J53" s="44"/>
      <c r="K53" s="56"/>
    </row>
    <row r="54" spans="1:11" ht="15.75" customHeight="1" x14ac:dyDescent="0.2">
      <c r="A54" s="18" t="s">
        <v>44</v>
      </c>
      <c r="B54" s="19" t="s">
        <v>959</v>
      </c>
      <c r="C54" s="19" t="s">
        <v>980</v>
      </c>
      <c r="D54" s="18" t="s">
        <v>77</v>
      </c>
      <c r="E54" s="108"/>
      <c r="F54" s="18">
        <v>63519</v>
      </c>
      <c r="G54" s="19" t="s">
        <v>1015</v>
      </c>
      <c r="H54" s="18">
        <v>1</v>
      </c>
      <c r="I54" s="18" t="s">
        <v>48</v>
      </c>
      <c r="J54" s="44"/>
      <c r="K54" s="56"/>
    </row>
    <row r="55" spans="1:11" ht="15.75" customHeight="1" x14ac:dyDescent="0.2">
      <c r="A55" s="18" t="s">
        <v>44</v>
      </c>
      <c r="B55" s="19" t="s">
        <v>959</v>
      </c>
      <c r="C55" s="19" t="s">
        <v>980</v>
      </c>
      <c r="D55" s="18" t="s">
        <v>77</v>
      </c>
      <c r="E55" s="108"/>
      <c r="F55" s="18">
        <v>63520</v>
      </c>
      <c r="G55" s="19" t="s">
        <v>1016</v>
      </c>
      <c r="H55" s="18">
        <v>1</v>
      </c>
      <c r="I55" s="18" t="s">
        <v>48</v>
      </c>
      <c r="J55" s="44"/>
      <c r="K55" s="56"/>
    </row>
    <row r="56" spans="1:11" ht="15.75" customHeight="1" x14ac:dyDescent="0.2">
      <c r="A56" s="18" t="s">
        <v>44</v>
      </c>
      <c r="B56" s="19" t="s">
        <v>959</v>
      </c>
      <c r="C56" s="19" t="s">
        <v>980</v>
      </c>
      <c r="D56" s="18" t="s">
        <v>77</v>
      </c>
      <c r="E56" s="108"/>
      <c r="F56" s="18">
        <v>63521</v>
      </c>
      <c r="G56" s="19" t="s">
        <v>1017</v>
      </c>
      <c r="H56" s="18">
        <v>1</v>
      </c>
      <c r="I56" s="18" t="s">
        <v>48</v>
      </c>
      <c r="J56" s="44"/>
      <c r="K56" s="56"/>
    </row>
    <row r="57" spans="1:11" ht="15.75" customHeight="1" x14ac:dyDescent="0.2">
      <c r="A57" s="18" t="s">
        <v>44</v>
      </c>
      <c r="B57" s="19" t="s">
        <v>959</v>
      </c>
      <c r="C57" s="19" t="s">
        <v>980</v>
      </c>
      <c r="D57" s="18" t="s">
        <v>77</v>
      </c>
      <c r="E57" s="108"/>
      <c r="F57" s="18">
        <v>63522</v>
      </c>
      <c r="G57" s="19" t="s">
        <v>1018</v>
      </c>
      <c r="H57" s="18">
        <v>1</v>
      </c>
      <c r="I57" s="18" t="s">
        <v>48</v>
      </c>
      <c r="J57" s="44"/>
      <c r="K57" s="56"/>
    </row>
    <row r="58" spans="1:11" ht="15.75" customHeight="1" x14ac:dyDescent="0.2">
      <c r="A58" s="18" t="s">
        <v>44</v>
      </c>
      <c r="B58" s="19" t="s">
        <v>959</v>
      </c>
      <c r="C58" s="19" t="s">
        <v>980</v>
      </c>
      <c r="D58" s="18" t="s">
        <v>77</v>
      </c>
      <c r="E58" s="107" t="e" vm="192">
        <v>#VALUE!</v>
      </c>
      <c r="F58" s="18">
        <v>63501</v>
      </c>
      <c r="G58" s="19" t="s">
        <v>1019</v>
      </c>
      <c r="H58" s="18">
        <v>30</v>
      </c>
      <c r="I58" s="18" t="s">
        <v>48</v>
      </c>
      <c r="J58" s="44"/>
      <c r="K58" s="56"/>
    </row>
    <row r="59" spans="1:11" ht="15.75" customHeight="1" x14ac:dyDescent="0.2">
      <c r="A59" s="18" t="s">
        <v>44</v>
      </c>
      <c r="B59" s="19" t="s">
        <v>959</v>
      </c>
      <c r="C59" s="19" t="s">
        <v>980</v>
      </c>
      <c r="D59" s="18" t="s">
        <v>77</v>
      </c>
      <c r="E59" s="108"/>
      <c r="F59" s="18">
        <v>63530</v>
      </c>
      <c r="G59" s="19" t="s">
        <v>1020</v>
      </c>
      <c r="H59" s="18">
        <v>30</v>
      </c>
      <c r="I59" s="18" t="s">
        <v>48</v>
      </c>
      <c r="J59" s="44"/>
      <c r="K59" s="56"/>
    </row>
    <row r="60" spans="1:11" ht="15.75" customHeight="1" x14ac:dyDescent="0.2">
      <c r="A60" s="18" t="s">
        <v>44</v>
      </c>
      <c r="B60" s="19" t="s">
        <v>959</v>
      </c>
      <c r="C60" s="19" t="s">
        <v>980</v>
      </c>
      <c r="D60" s="18" t="s">
        <v>77</v>
      </c>
      <c r="E60" s="108"/>
      <c r="F60" s="18">
        <v>63531</v>
      </c>
      <c r="G60" s="19" t="s">
        <v>1021</v>
      </c>
      <c r="H60" s="18">
        <v>30</v>
      </c>
      <c r="I60" s="18" t="s">
        <v>48</v>
      </c>
      <c r="J60" s="44"/>
      <c r="K60" s="56"/>
    </row>
    <row r="61" spans="1:11" ht="15.75" customHeight="1" x14ac:dyDescent="0.2">
      <c r="A61" s="18" t="s">
        <v>44</v>
      </c>
      <c r="B61" s="19" t="s">
        <v>959</v>
      </c>
      <c r="C61" s="19" t="s">
        <v>980</v>
      </c>
      <c r="D61" s="18" t="s">
        <v>77</v>
      </c>
      <c r="E61" s="108"/>
      <c r="F61" s="18">
        <v>63532</v>
      </c>
      <c r="G61" s="19" t="s">
        <v>1022</v>
      </c>
      <c r="H61" s="18">
        <v>20</v>
      </c>
      <c r="I61" s="18" t="s">
        <v>48</v>
      </c>
      <c r="J61" s="44"/>
      <c r="K61" s="56"/>
    </row>
    <row r="62" spans="1:11" ht="15.75" customHeight="1" x14ac:dyDescent="0.2">
      <c r="A62" s="18" t="s">
        <v>44</v>
      </c>
      <c r="B62" s="19" t="s">
        <v>959</v>
      </c>
      <c r="C62" s="19" t="s">
        <v>980</v>
      </c>
      <c r="D62" s="18" t="s">
        <v>77</v>
      </c>
      <c r="E62" s="108"/>
      <c r="F62" s="18">
        <v>63502</v>
      </c>
      <c r="G62" s="19" t="s">
        <v>1023</v>
      </c>
      <c r="H62" s="18">
        <v>20</v>
      </c>
      <c r="I62" s="18" t="s">
        <v>48</v>
      </c>
      <c r="J62" s="44"/>
      <c r="K62" s="56"/>
    </row>
    <row r="63" spans="1:11" ht="15.75" customHeight="1" x14ac:dyDescent="0.2">
      <c r="A63" s="18" t="s">
        <v>44</v>
      </c>
      <c r="B63" s="19" t="s">
        <v>959</v>
      </c>
      <c r="C63" s="19" t="s">
        <v>980</v>
      </c>
      <c r="D63" s="18" t="s">
        <v>77</v>
      </c>
      <c r="E63" s="108"/>
      <c r="F63" s="18">
        <v>63533</v>
      </c>
      <c r="G63" s="19" t="s">
        <v>1024</v>
      </c>
      <c r="H63" s="18">
        <v>20</v>
      </c>
      <c r="I63" s="18" t="s">
        <v>48</v>
      </c>
      <c r="J63" s="44"/>
      <c r="K63" s="56"/>
    </row>
    <row r="64" spans="1:11" ht="15.75" customHeight="1" x14ac:dyDescent="0.2">
      <c r="A64" s="18" t="s">
        <v>44</v>
      </c>
      <c r="B64" s="19" t="s">
        <v>959</v>
      </c>
      <c r="C64" s="19" t="s">
        <v>980</v>
      </c>
      <c r="D64" s="18" t="s">
        <v>77</v>
      </c>
      <c r="E64" s="108"/>
      <c r="F64" s="18">
        <v>63534</v>
      </c>
      <c r="G64" s="19" t="s">
        <v>1025</v>
      </c>
      <c r="H64" s="18">
        <v>10</v>
      </c>
      <c r="I64" s="18" t="s">
        <v>48</v>
      </c>
      <c r="J64" s="44"/>
      <c r="K64" s="56"/>
    </row>
    <row r="65" spans="1:11" ht="15.75" customHeight="1" x14ac:dyDescent="0.2">
      <c r="A65" s="18" t="s">
        <v>44</v>
      </c>
      <c r="B65" s="19" t="s">
        <v>959</v>
      </c>
      <c r="C65" s="19" t="s">
        <v>980</v>
      </c>
      <c r="D65" s="18" t="s">
        <v>77</v>
      </c>
      <c r="E65" s="108"/>
      <c r="F65" s="18">
        <v>63535</v>
      </c>
      <c r="G65" s="19" t="s">
        <v>1026</v>
      </c>
      <c r="H65" s="18">
        <v>10</v>
      </c>
      <c r="I65" s="18" t="s">
        <v>48</v>
      </c>
      <c r="J65" s="44"/>
      <c r="K65" s="56"/>
    </row>
    <row r="66" spans="1:11" ht="15.75" customHeight="1" x14ac:dyDescent="0.2">
      <c r="A66" s="18" t="s">
        <v>44</v>
      </c>
      <c r="B66" s="19" t="s">
        <v>959</v>
      </c>
      <c r="C66" s="19" t="s">
        <v>980</v>
      </c>
      <c r="D66" s="18" t="s">
        <v>77</v>
      </c>
      <c r="E66" s="108"/>
      <c r="F66" s="18">
        <v>63536</v>
      </c>
      <c r="G66" s="19" t="s">
        <v>1027</v>
      </c>
      <c r="H66" s="18">
        <v>10</v>
      </c>
      <c r="I66" s="18" t="s">
        <v>48</v>
      </c>
      <c r="J66" s="44"/>
      <c r="K66" s="56"/>
    </row>
    <row r="67" spans="1:11" ht="15.75" customHeight="1" x14ac:dyDescent="0.2">
      <c r="A67" s="18" t="s">
        <v>44</v>
      </c>
      <c r="B67" s="19" t="s">
        <v>959</v>
      </c>
      <c r="C67" s="19" t="s">
        <v>980</v>
      </c>
      <c r="D67" s="18" t="s">
        <v>77</v>
      </c>
      <c r="E67" s="108"/>
      <c r="F67" s="18">
        <v>63537</v>
      </c>
      <c r="G67" s="19" t="s">
        <v>1028</v>
      </c>
      <c r="H67" s="18">
        <v>10</v>
      </c>
      <c r="I67" s="18" t="s">
        <v>48</v>
      </c>
      <c r="J67" s="44"/>
      <c r="K67" s="56"/>
    </row>
    <row r="68" spans="1:11" ht="15.75" customHeight="1" x14ac:dyDescent="0.2">
      <c r="A68" s="18" t="s">
        <v>44</v>
      </c>
      <c r="B68" s="19" t="s">
        <v>959</v>
      </c>
      <c r="C68" s="19" t="s">
        <v>980</v>
      </c>
      <c r="D68" s="18" t="s">
        <v>77</v>
      </c>
      <c r="E68" s="108"/>
      <c r="F68" s="18">
        <v>63538</v>
      </c>
      <c r="G68" s="19" t="s">
        <v>1029</v>
      </c>
      <c r="H68" s="18">
        <v>6</v>
      </c>
      <c r="I68" s="18" t="s">
        <v>48</v>
      </c>
      <c r="J68" s="44"/>
      <c r="K68" s="56"/>
    </row>
    <row r="69" spans="1:11" ht="15.75" customHeight="1" x14ac:dyDescent="0.2">
      <c r="A69" s="18" t="s">
        <v>44</v>
      </c>
      <c r="B69" s="19" t="s">
        <v>959</v>
      </c>
      <c r="C69" s="19" t="s">
        <v>980</v>
      </c>
      <c r="D69" s="18" t="s">
        <v>77</v>
      </c>
      <c r="E69" s="108"/>
      <c r="F69" s="18">
        <v>63539</v>
      </c>
      <c r="G69" s="19" t="s">
        <v>1030</v>
      </c>
      <c r="H69" s="18">
        <v>6</v>
      </c>
      <c r="I69" s="18" t="s">
        <v>48</v>
      </c>
      <c r="J69" s="44"/>
      <c r="K69" s="56"/>
    </row>
    <row r="70" spans="1:11" ht="15.75" customHeight="1" x14ac:dyDescent="0.2">
      <c r="A70" s="18" t="s">
        <v>44</v>
      </c>
      <c r="B70" s="19" t="s">
        <v>959</v>
      </c>
      <c r="C70" s="19" t="s">
        <v>980</v>
      </c>
      <c r="D70" s="18" t="s">
        <v>77</v>
      </c>
      <c r="E70" s="108"/>
      <c r="F70" s="18">
        <v>63540</v>
      </c>
      <c r="G70" s="19" t="s">
        <v>1031</v>
      </c>
      <c r="H70" s="18">
        <v>6</v>
      </c>
      <c r="I70" s="18" t="s">
        <v>48</v>
      </c>
      <c r="J70" s="44"/>
      <c r="K70" s="56"/>
    </row>
    <row r="71" spans="1:11" ht="15.75" customHeight="1" x14ac:dyDescent="0.2">
      <c r="A71" s="18" t="s">
        <v>44</v>
      </c>
      <c r="B71" s="19" t="s">
        <v>959</v>
      </c>
      <c r="C71" s="19" t="s">
        <v>980</v>
      </c>
      <c r="D71" s="18" t="s">
        <v>77</v>
      </c>
      <c r="E71" s="108"/>
      <c r="F71" s="18">
        <v>63541</v>
      </c>
      <c r="G71" s="19" t="s">
        <v>1032</v>
      </c>
      <c r="H71" s="18">
        <v>1</v>
      </c>
      <c r="I71" s="18" t="s">
        <v>48</v>
      </c>
      <c r="J71" s="44"/>
      <c r="K71" s="56"/>
    </row>
    <row r="72" spans="1:11" ht="15.75" customHeight="1" x14ac:dyDescent="0.2">
      <c r="A72" s="18" t="s">
        <v>44</v>
      </c>
      <c r="B72" s="19" t="s">
        <v>959</v>
      </c>
      <c r="C72" s="19" t="s">
        <v>980</v>
      </c>
      <c r="D72" s="18" t="s">
        <v>77</v>
      </c>
      <c r="E72" s="108"/>
      <c r="F72" s="18">
        <v>63542</v>
      </c>
      <c r="G72" s="19" t="s">
        <v>1033</v>
      </c>
      <c r="H72" s="18">
        <v>1</v>
      </c>
      <c r="I72" s="18" t="s">
        <v>48</v>
      </c>
      <c r="J72" s="44"/>
      <c r="K72" s="56"/>
    </row>
    <row r="73" spans="1:11" ht="15.75" customHeight="1" x14ac:dyDescent="0.2">
      <c r="A73" s="18" t="s">
        <v>44</v>
      </c>
      <c r="B73" s="19" t="s">
        <v>959</v>
      </c>
      <c r="C73" s="19" t="s">
        <v>980</v>
      </c>
      <c r="D73" s="18" t="s">
        <v>77</v>
      </c>
      <c r="E73" s="108"/>
      <c r="F73" s="18">
        <v>63543</v>
      </c>
      <c r="G73" s="19" t="s">
        <v>1034</v>
      </c>
      <c r="H73" s="18">
        <v>1</v>
      </c>
      <c r="I73" s="18" t="s">
        <v>48</v>
      </c>
      <c r="J73" s="44"/>
      <c r="K73" s="56"/>
    </row>
    <row r="74" spans="1:11" ht="15.75" customHeight="1" x14ac:dyDescent="0.2">
      <c r="A74" s="18" t="s">
        <v>44</v>
      </c>
      <c r="B74" s="19" t="s">
        <v>959</v>
      </c>
      <c r="C74" s="19" t="s">
        <v>980</v>
      </c>
      <c r="D74" s="18" t="s">
        <v>77</v>
      </c>
      <c r="E74" s="108"/>
      <c r="F74" s="18">
        <v>63544</v>
      </c>
      <c r="G74" s="19" t="s">
        <v>1035</v>
      </c>
      <c r="H74" s="18">
        <v>1</v>
      </c>
      <c r="I74" s="18" t="s">
        <v>48</v>
      </c>
      <c r="J74" s="44"/>
      <c r="K74" s="56"/>
    </row>
    <row r="75" spans="1:11" ht="15.75" customHeight="1" x14ac:dyDescent="0.2">
      <c r="A75" s="18" t="s">
        <v>44</v>
      </c>
      <c r="B75" s="19" t="s">
        <v>959</v>
      </c>
      <c r="C75" s="19" t="s">
        <v>980</v>
      </c>
      <c r="D75" s="18" t="s">
        <v>77</v>
      </c>
      <c r="E75" s="108"/>
      <c r="F75" s="18">
        <v>63545</v>
      </c>
      <c r="G75" s="19" t="s">
        <v>1036</v>
      </c>
      <c r="H75" s="18">
        <v>1</v>
      </c>
      <c r="I75" s="18" t="s">
        <v>48</v>
      </c>
      <c r="J75" s="44"/>
      <c r="K75" s="56"/>
    </row>
    <row r="76" spans="1:11" ht="15.75" customHeight="1" x14ac:dyDescent="0.2">
      <c r="A76" s="18" t="s">
        <v>44</v>
      </c>
      <c r="B76" s="19" t="s">
        <v>959</v>
      </c>
      <c r="C76" s="19" t="s">
        <v>980</v>
      </c>
      <c r="D76" s="18" t="s">
        <v>77</v>
      </c>
      <c r="E76" s="108"/>
      <c r="F76" s="18">
        <v>63546</v>
      </c>
      <c r="G76" s="19" t="s">
        <v>1037</v>
      </c>
      <c r="H76" s="18">
        <v>1</v>
      </c>
      <c r="I76" s="18" t="s">
        <v>48</v>
      </c>
      <c r="J76" s="44"/>
      <c r="K76" s="56"/>
    </row>
    <row r="77" spans="1:11" ht="15.75" customHeight="1" x14ac:dyDescent="0.2">
      <c r="A77" s="18" t="s">
        <v>44</v>
      </c>
      <c r="B77" s="19" t="s">
        <v>959</v>
      </c>
      <c r="C77" s="19" t="s">
        <v>980</v>
      </c>
      <c r="D77" s="18" t="s">
        <v>77</v>
      </c>
      <c r="E77" s="108"/>
      <c r="F77" s="18">
        <v>63547</v>
      </c>
      <c r="G77" s="19" t="s">
        <v>1038</v>
      </c>
      <c r="H77" s="18">
        <v>1</v>
      </c>
      <c r="I77" s="18" t="s">
        <v>48</v>
      </c>
      <c r="J77" s="44"/>
      <c r="K77" s="56"/>
    </row>
    <row r="78" spans="1:11" ht="15.75" customHeight="1" x14ac:dyDescent="0.2">
      <c r="A78" s="18" t="s">
        <v>44</v>
      </c>
      <c r="B78" s="19" t="s">
        <v>959</v>
      </c>
      <c r="C78" s="19" t="s">
        <v>980</v>
      </c>
      <c r="D78" s="18" t="s">
        <v>77</v>
      </c>
      <c r="E78" s="108"/>
      <c r="F78" s="18">
        <v>63548</v>
      </c>
      <c r="G78" s="19" t="s">
        <v>1039</v>
      </c>
      <c r="H78" s="18">
        <v>1</v>
      </c>
      <c r="I78" s="18" t="s">
        <v>48</v>
      </c>
      <c r="J78" s="44"/>
      <c r="K78" s="56"/>
    </row>
    <row r="79" spans="1:11" ht="15.75" customHeight="1" x14ac:dyDescent="0.2">
      <c r="A79" s="18" t="s">
        <v>44</v>
      </c>
      <c r="B79" s="19" t="s">
        <v>959</v>
      </c>
      <c r="C79" s="19" t="s">
        <v>980</v>
      </c>
      <c r="D79" s="18" t="s">
        <v>77</v>
      </c>
      <c r="E79" s="107" t="e" vm="193">
        <v>#VALUE!</v>
      </c>
      <c r="F79" s="18">
        <v>63560</v>
      </c>
      <c r="G79" s="19" t="s">
        <v>1040</v>
      </c>
      <c r="H79" s="18">
        <v>30</v>
      </c>
      <c r="I79" s="18" t="s">
        <v>48</v>
      </c>
      <c r="J79" s="44"/>
      <c r="K79" s="56"/>
    </row>
    <row r="80" spans="1:11" ht="15.75" customHeight="1" x14ac:dyDescent="0.2">
      <c r="A80" s="18" t="s">
        <v>44</v>
      </c>
      <c r="B80" s="19" t="s">
        <v>959</v>
      </c>
      <c r="C80" s="19" t="s">
        <v>980</v>
      </c>
      <c r="D80" s="18" t="s">
        <v>77</v>
      </c>
      <c r="E80" s="108"/>
      <c r="F80" s="18">
        <v>63561</v>
      </c>
      <c r="G80" s="19" t="s">
        <v>1041</v>
      </c>
      <c r="H80" s="18">
        <v>20</v>
      </c>
      <c r="I80" s="18" t="s">
        <v>48</v>
      </c>
      <c r="J80" s="44"/>
      <c r="K80" s="56"/>
    </row>
    <row r="81" spans="1:11" ht="15.75" customHeight="1" x14ac:dyDescent="0.2">
      <c r="A81" s="18" t="s">
        <v>44</v>
      </c>
      <c r="B81" s="19" t="s">
        <v>959</v>
      </c>
      <c r="C81" s="19" t="s">
        <v>980</v>
      </c>
      <c r="D81" s="18" t="s">
        <v>77</v>
      </c>
      <c r="E81" s="108"/>
      <c r="F81" s="18">
        <v>63562</v>
      </c>
      <c r="G81" s="19" t="s">
        <v>1042</v>
      </c>
      <c r="H81" s="18">
        <v>10</v>
      </c>
      <c r="I81" s="18" t="s">
        <v>48</v>
      </c>
      <c r="J81" s="44"/>
      <c r="K81" s="56"/>
    </row>
    <row r="82" spans="1:11" ht="15.75" customHeight="1" x14ac:dyDescent="0.2">
      <c r="A82" s="18" t="s">
        <v>44</v>
      </c>
      <c r="B82" s="19" t="s">
        <v>959</v>
      </c>
      <c r="C82" s="19" t="s">
        <v>980</v>
      </c>
      <c r="D82" s="18" t="s">
        <v>77</v>
      </c>
      <c r="E82" s="108"/>
      <c r="F82" s="18">
        <v>63563</v>
      </c>
      <c r="G82" s="19" t="s">
        <v>1043</v>
      </c>
      <c r="H82" s="18">
        <v>8</v>
      </c>
      <c r="I82" s="18" t="s">
        <v>48</v>
      </c>
      <c r="J82" s="44"/>
      <c r="K82" s="56"/>
    </row>
    <row r="83" spans="1:11" ht="15.75" customHeight="1" x14ac:dyDescent="0.2">
      <c r="A83" s="18" t="s">
        <v>44</v>
      </c>
      <c r="B83" s="19" t="s">
        <v>959</v>
      </c>
      <c r="C83" s="19" t="s">
        <v>980</v>
      </c>
      <c r="D83" s="18" t="s">
        <v>77</v>
      </c>
      <c r="E83" s="108"/>
      <c r="F83" s="18">
        <v>63564</v>
      </c>
      <c r="G83" s="19" t="s">
        <v>1044</v>
      </c>
      <c r="H83" s="18">
        <v>1</v>
      </c>
      <c r="I83" s="18" t="s">
        <v>48</v>
      </c>
      <c r="J83" s="44"/>
      <c r="K83" s="56"/>
    </row>
    <row r="84" spans="1:11" ht="15.75" customHeight="1" x14ac:dyDescent="0.2">
      <c r="A84" s="18" t="s">
        <v>44</v>
      </c>
      <c r="B84" s="19" t="s">
        <v>959</v>
      </c>
      <c r="C84" s="19" t="s">
        <v>980</v>
      </c>
      <c r="D84" s="18" t="s">
        <v>77</v>
      </c>
      <c r="E84" s="108"/>
      <c r="F84" s="18">
        <v>63565</v>
      </c>
      <c r="G84" s="19" t="s">
        <v>1045</v>
      </c>
      <c r="H84" s="18">
        <v>1</v>
      </c>
      <c r="I84" s="18" t="s">
        <v>48</v>
      </c>
      <c r="J84" s="44"/>
      <c r="K84" s="56"/>
    </row>
    <row r="85" spans="1:11" ht="15.75" customHeight="1" x14ac:dyDescent="0.2">
      <c r="A85" s="18" t="s">
        <v>44</v>
      </c>
      <c r="B85" s="19" t="s">
        <v>959</v>
      </c>
      <c r="C85" s="19" t="s">
        <v>980</v>
      </c>
      <c r="D85" s="18" t="s">
        <v>77</v>
      </c>
      <c r="E85" s="107" t="e" vm="194">
        <v>#VALUE!</v>
      </c>
      <c r="F85" s="18">
        <v>63570</v>
      </c>
      <c r="G85" s="19" t="s">
        <v>1046</v>
      </c>
      <c r="H85" s="18">
        <v>10</v>
      </c>
      <c r="I85" s="18" t="s">
        <v>48</v>
      </c>
      <c r="J85" s="44"/>
      <c r="K85" s="56"/>
    </row>
    <row r="86" spans="1:11" ht="15.75" customHeight="1" x14ac:dyDescent="0.2">
      <c r="A86" s="18" t="s">
        <v>44</v>
      </c>
      <c r="B86" s="19" t="s">
        <v>959</v>
      </c>
      <c r="C86" s="19" t="s">
        <v>980</v>
      </c>
      <c r="D86" s="18" t="s">
        <v>77</v>
      </c>
      <c r="E86" s="108"/>
      <c r="F86" s="18">
        <v>63571</v>
      </c>
      <c r="G86" s="19" t="s">
        <v>1047</v>
      </c>
      <c r="H86" s="18">
        <v>6</v>
      </c>
      <c r="I86" s="18" t="s">
        <v>48</v>
      </c>
      <c r="J86" s="44"/>
      <c r="K86" s="56"/>
    </row>
    <row r="87" spans="1:11" ht="15.75" customHeight="1" x14ac:dyDescent="0.2">
      <c r="A87" s="18" t="s">
        <v>44</v>
      </c>
      <c r="B87" s="19" t="s">
        <v>959</v>
      </c>
      <c r="C87" s="19" t="s">
        <v>980</v>
      </c>
      <c r="D87" s="18" t="s">
        <v>77</v>
      </c>
      <c r="E87" s="108"/>
      <c r="F87" s="18">
        <v>63572</v>
      </c>
      <c r="G87" s="19" t="s">
        <v>1048</v>
      </c>
      <c r="H87" s="18">
        <v>4</v>
      </c>
      <c r="I87" s="18" t="s">
        <v>48</v>
      </c>
      <c r="J87" s="44"/>
      <c r="K87" s="56"/>
    </row>
    <row r="88" spans="1:11" ht="15.75" customHeight="1" x14ac:dyDescent="0.2">
      <c r="A88" s="18" t="s">
        <v>44</v>
      </c>
      <c r="B88" s="19" t="s">
        <v>959</v>
      </c>
      <c r="C88" s="19" t="s">
        <v>980</v>
      </c>
      <c r="D88" s="18" t="s">
        <v>77</v>
      </c>
      <c r="E88" s="108"/>
      <c r="F88" s="18">
        <v>63573</v>
      </c>
      <c r="G88" s="19" t="s">
        <v>1049</v>
      </c>
      <c r="H88" s="18">
        <v>2</v>
      </c>
      <c r="I88" s="18" t="s">
        <v>48</v>
      </c>
      <c r="J88" s="44"/>
      <c r="K88" s="56"/>
    </row>
    <row r="89" spans="1:11" ht="15.75" customHeight="1" x14ac:dyDescent="0.2">
      <c r="A89" s="18" t="s">
        <v>44</v>
      </c>
      <c r="B89" s="19" t="s">
        <v>959</v>
      </c>
      <c r="C89" s="19" t="s">
        <v>980</v>
      </c>
      <c r="D89" s="18" t="s">
        <v>77</v>
      </c>
      <c r="E89" s="108"/>
      <c r="F89" s="18">
        <v>63574</v>
      </c>
      <c r="G89" s="19" t="s">
        <v>1050</v>
      </c>
      <c r="H89" s="18">
        <v>1</v>
      </c>
      <c r="I89" s="18" t="s">
        <v>48</v>
      </c>
      <c r="J89" s="44"/>
      <c r="K89" s="56"/>
    </row>
    <row r="90" spans="1:11" ht="15.75" customHeight="1" x14ac:dyDescent="0.2">
      <c r="A90" s="18" t="s">
        <v>44</v>
      </c>
      <c r="B90" s="19" t="s">
        <v>959</v>
      </c>
      <c r="C90" s="19" t="s">
        <v>980</v>
      </c>
      <c r="D90" s="18" t="s">
        <v>77</v>
      </c>
      <c r="E90" s="108"/>
      <c r="F90" s="18">
        <v>63575</v>
      </c>
      <c r="G90" s="19" t="s">
        <v>1051</v>
      </c>
      <c r="H90" s="18">
        <v>1</v>
      </c>
      <c r="I90" s="18" t="s">
        <v>48</v>
      </c>
      <c r="J90" s="44"/>
      <c r="K90" s="56"/>
    </row>
    <row r="91" spans="1:11" ht="15.75" customHeight="1" x14ac:dyDescent="0.2">
      <c r="A91" s="18" t="s">
        <v>44</v>
      </c>
      <c r="B91" s="19" t="s">
        <v>959</v>
      </c>
      <c r="C91" s="19" t="s">
        <v>980</v>
      </c>
      <c r="D91" s="18" t="s">
        <v>77</v>
      </c>
      <c r="E91" s="107" t="e" vm="195">
        <v>#VALUE!</v>
      </c>
      <c r="F91" s="18">
        <v>63580</v>
      </c>
      <c r="G91" s="19" t="s">
        <v>1052</v>
      </c>
      <c r="H91" s="18">
        <v>6</v>
      </c>
      <c r="I91" s="18" t="s">
        <v>48</v>
      </c>
      <c r="J91" s="44"/>
      <c r="K91" s="56"/>
    </row>
    <row r="92" spans="1:11" ht="15.75" customHeight="1" x14ac:dyDescent="0.2">
      <c r="A92" s="18" t="s">
        <v>44</v>
      </c>
      <c r="B92" s="19" t="s">
        <v>959</v>
      </c>
      <c r="C92" s="19" t="s">
        <v>980</v>
      </c>
      <c r="D92" s="18" t="s">
        <v>77</v>
      </c>
      <c r="E92" s="108"/>
      <c r="F92" s="18">
        <v>63581</v>
      </c>
      <c r="G92" s="19" t="s">
        <v>1053</v>
      </c>
      <c r="H92" s="18">
        <v>5</v>
      </c>
      <c r="I92" s="18" t="s">
        <v>48</v>
      </c>
      <c r="J92" s="44"/>
      <c r="K92" s="56"/>
    </row>
    <row r="93" spans="1:11" ht="15.75" customHeight="1" x14ac:dyDescent="0.2">
      <c r="A93" s="18" t="s">
        <v>44</v>
      </c>
      <c r="B93" s="19" t="s">
        <v>959</v>
      </c>
      <c r="C93" s="19" t="s">
        <v>980</v>
      </c>
      <c r="D93" s="18" t="s">
        <v>77</v>
      </c>
      <c r="E93" s="108"/>
      <c r="F93" s="18">
        <v>63582</v>
      </c>
      <c r="G93" s="19" t="s">
        <v>1054</v>
      </c>
      <c r="H93" s="18">
        <v>5</v>
      </c>
      <c r="I93" s="18" t="s">
        <v>48</v>
      </c>
      <c r="J93" s="44"/>
      <c r="K93" s="56"/>
    </row>
    <row r="94" spans="1:11" ht="15.75" customHeight="1" x14ac:dyDescent="0.2">
      <c r="A94" s="18" t="s">
        <v>44</v>
      </c>
      <c r="B94" s="19" t="s">
        <v>959</v>
      </c>
      <c r="C94" s="19" t="s">
        <v>980</v>
      </c>
      <c r="D94" s="18" t="s">
        <v>77</v>
      </c>
      <c r="E94" s="108"/>
      <c r="F94" s="18">
        <v>63583</v>
      </c>
      <c r="G94" s="19" t="s">
        <v>1055</v>
      </c>
      <c r="H94" s="18">
        <v>2</v>
      </c>
      <c r="I94" s="18" t="s">
        <v>48</v>
      </c>
      <c r="J94" s="44"/>
      <c r="K94" s="56"/>
    </row>
    <row r="95" spans="1:11" ht="15.75" customHeight="1" x14ac:dyDescent="0.2">
      <c r="A95" s="18" t="s">
        <v>44</v>
      </c>
      <c r="B95" s="19" t="s">
        <v>959</v>
      </c>
      <c r="C95" s="19" t="s">
        <v>980</v>
      </c>
      <c r="D95" s="18" t="s">
        <v>77</v>
      </c>
      <c r="E95" s="108"/>
      <c r="F95" s="18">
        <v>63584</v>
      </c>
      <c r="G95" s="19" t="s">
        <v>1056</v>
      </c>
      <c r="H95" s="18">
        <v>2</v>
      </c>
      <c r="I95" s="18" t="s">
        <v>48</v>
      </c>
      <c r="J95" s="44"/>
      <c r="K95" s="56"/>
    </row>
    <row r="96" spans="1:11" ht="15.75" customHeight="1" x14ac:dyDescent="0.2">
      <c r="A96" s="18" t="s">
        <v>44</v>
      </c>
      <c r="B96" s="19" t="s">
        <v>959</v>
      </c>
      <c r="C96" s="19" t="s">
        <v>980</v>
      </c>
      <c r="D96" s="18" t="s">
        <v>77</v>
      </c>
      <c r="E96" s="108"/>
      <c r="F96" s="18">
        <v>63585</v>
      </c>
      <c r="G96" s="19" t="s">
        <v>1057</v>
      </c>
      <c r="H96" s="18">
        <v>1</v>
      </c>
      <c r="I96" s="18" t="s">
        <v>48</v>
      </c>
      <c r="J96" s="44"/>
      <c r="K96" s="56"/>
    </row>
    <row r="97" spans="1:11" ht="15.75" customHeight="1" x14ac:dyDescent="0.2">
      <c r="A97" s="18" t="s">
        <v>44</v>
      </c>
      <c r="B97" s="19" t="s">
        <v>959</v>
      </c>
      <c r="C97" s="19" t="s">
        <v>980</v>
      </c>
      <c r="D97" s="18" t="s">
        <v>77</v>
      </c>
      <c r="E97" s="108"/>
      <c r="F97" s="18">
        <v>63586</v>
      </c>
      <c r="G97" s="19" t="s">
        <v>1058</v>
      </c>
      <c r="H97" s="18">
        <v>1</v>
      </c>
      <c r="I97" s="18" t="s">
        <v>48</v>
      </c>
      <c r="J97" s="44"/>
      <c r="K97" s="56"/>
    </row>
    <row r="98" spans="1:11" ht="15.75" customHeight="1" x14ac:dyDescent="0.2">
      <c r="A98" s="18" t="s">
        <v>44</v>
      </c>
      <c r="B98" s="19" t="s">
        <v>959</v>
      </c>
      <c r="C98" s="19" t="s">
        <v>980</v>
      </c>
      <c r="D98" s="18" t="s">
        <v>77</v>
      </c>
      <c r="E98" s="108"/>
      <c r="F98" s="18">
        <v>63587</v>
      </c>
      <c r="G98" s="19" t="s">
        <v>1059</v>
      </c>
      <c r="H98" s="18">
        <v>1</v>
      </c>
      <c r="I98" s="18" t="s">
        <v>48</v>
      </c>
      <c r="J98" s="44"/>
      <c r="K98" s="56"/>
    </row>
    <row r="99" spans="1:11" ht="15.75" customHeight="1" x14ac:dyDescent="0.2">
      <c r="A99" s="18" t="s">
        <v>44</v>
      </c>
      <c r="B99" s="19" t="s">
        <v>959</v>
      </c>
      <c r="C99" s="19" t="s">
        <v>980</v>
      </c>
      <c r="D99" s="18" t="s">
        <v>77</v>
      </c>
      <c r="E99" s="108"/>
      <c r="F99" s="18">
        <v>63588</v>
      </c>
      <c r="G99" s="19" t="s">
        <v>1060</v>
      </c>
      <c r="H99" s="18">
        <v>1</v>
      </c>
      <c r="I99" s="18" t="s">
        <v>48</v>
      </c>
      <c r="J99" s="44"/>
      <c r="K99" s="56"/>
    </row>
    <row r="100" spans="1:11" ht="15.75" customHeight="1" x14ac:dyDescent="0.2">
      <c r="A100" s="18" t="s">
        <v>44</v>
      </c>
      <c r="B100" s="19" t="s">
        <v>959</v>
      </c>
      <c r="C100" s="19" t="s">
        <v>980</v>
      </c>
      <c r="D100" s="18" t="s">
        <v>77</v>
      </c>
      <c r="E100" s="108"/>
      <c r="F100" s="18">
        <v>63589</v>
      </c>
      <c r="G100" s="19" t="s">
        <v>1061</v>
      </c>
      <c r="H100" s="18">
        <v>1</v>
      </c>
      <c r="I100" s="18" t="s">
        <v>48</v>
      </c>
      <c r="J100" s="44"/>
      <c r="K100" s="56"/>
    </row>
    <row r="101" spans="1:11" ht="15.75" customHeight="1" x14ac:dyDescent="0.2">
      <c r="A101" s="18" t="s">
        <v>44</v>
      </c>
      <c r="B101" s="19" t="s">
        <v>959</v>
      </c>
      <c r="C101" s="19" t="s">
        <v>980</v>
      </c>
      <c r="D101" s="18" t="s">
        <v>77</v>
      </c>
      <c r="E101" s="108"/>
      <c r="F101" s="18">
        <v>63590</v>
      </c>
      <c r="G101" s="19" t="s">
        <v>1062</v>
      </c>
      <c r="H101" s="18">
        <v>1</v>
      </c>
      <c r="I101" s="18" t="s">
        <v>48</v>
      </c>
      <c r="J101" s="44"/>
      <c r="K101" s="56"/>
    </row>
    <row r="102" spans="1:11" ht="15.75" customHeight="1" x14ac:dyDescent="0.2">
      <c r="A102" s="18" t="s">
        <v>44</v>
      </c>
      <c r="B102" s="19" t="s">
        <v>959</v>
      </c>
      <c r="C102" s="19" t="s">
        <v>980</v>
      </c>
      <c r="D102" s="18" t="s">
        <v>77</v>
      </c>
      <c r="E102" s="108"/>
      <c r="F102" s="18">
        <v>63591</v>
      </c>
      <c r="G102" s="19" t="s">
        <v>1063</v>
      </c>
      <c r="H102" s="18">
        <v>1</v>
      </c>
      <c r="I102" s="18" t="s">
        <v>48</v>
      </c>
      <c r="J102" s="44"/>
      <c r="K102" s="56"/>
    </row>
    <row r="103" spans="1:11" ht="15.75" customHeight="1" x14ac:dyDescent="0.2">
      <c r="A103" s="18" t="s">
        <v>44</v>
      </c>
      <c r="B103" s="19" t="s">
        <v>959</v>
      </c>
      <c r="C103" s="19" t="s">
        <v>980</v>
      </c>
      <c r="D103" s="18" t="s">
        <v>77</v>
      </c>
      <c r="E103" s="107" t="e" vm="196">
        <v>#VALUE!</v>
      </c>
      <c r="F103" s="18">
        <v>63700</v>
      </c>
      <c r="G103" s="19" t="s">
        <v>1064</v>
      </c>
      <c r="H103" s="18">
        <v>15</v>
      </c>
      <c r="I103" s="18" t="s">
        <v>48</v>
      </c>
      <c r="J103" s="44"/>
      <c r="K103" s="56"/>
    </row>
    <row r="104" spans="1:11" ht="15.75" customHeight="1" x14ac:dyDescent="0.2">
      <c r="A104" s="18" t="s">
        <v>44</v>
      </c>
      <c r="B104" s="19" t="s">
        <v>959</v>
      </c>
      <c r="C104" s="19" t="s">
        <v>980</v>
      </c>
      <c r="D104" s="18" t="s">
        <v>77</v>
      </c>
      <c r="E104" s="108"/>
      <c r="F104" s="18">
        <v>63701</v>
      </c>
      <c r="G104" s="19" t="s">
        <v>1065</v>
      </c>
      <c r="H104" s="18">
        <v>15</v>
      </c>
      <c r="I104" s="18" t="s">
        <v>48</v>
      </c>
      <c r="J104" s="44"/>
      <c r="K104" s="56"/>
    </row>
    <row r="105" spans="1:11" ht="15.75" customHeight="1" x14ac:dyDescent="0.2">
      <c r="A105" s="18" t="s">
        <v>44</v>
      </c>
      <c r="B105" s="19" t="s">
        <v>959</v>
      </c>
      <c r="C105" s="19" t="s">
        <v>980</v>
      </c>
      <c r="D105" s="18" t="s">
        <v>77</v>
      </c>
      <c r="E105" s="108"/>
      <c r="F105" s="18">
        <v>63702</v>
      </c>
      <c r="G105" s="19" t="s">
        <v>1066</v>
      </c>
      <c r="H105" s="18">
        <v>15</v>
      </c>
      <c r="I105" s="18" t="s">
        <v>48</v>
      </c>
      <c r="J105" s="44"/>
      <c r="K105" s="56"/>
    </row>
    <row r="106" spans="1:11" ht="15.75" customHeight="1" x14ac:dyDescent="0.2">
      <c r="A106" s="18" t="s">
        <v>44</v>
      </c>
      <c r="B106" s="19" t="s">
        <v>959</v>
      </c>
      <c r="C106" s="19" t="s">
        <v>980</v>
      </c>
      <c r="D106" s="18" t="s">
        <v>77</v>
      </c>
      <c r="E106" s="108"/>
      <c r="F106" s="18">
        <v>63703</v>
      </c>
      <c r="G106" s="19" t="s">
        <v>1067</v>
      </c>
      <c r="H106" s="18">
        <v>8</v>
      </c>
      <c r="I106" s="18" t="s">
        <v>48</v>
      </c>
      <c r="J106" s="44"/>
      <c r="K106" s="56"/>
    </row>
    <row r="107" spans="1:11" ht="15.75" customHeight="1" x14ac:dyDescent="0.2">
      <c r="A107" s="18" t="s">
        <v>44</v>
      </c>
      <c r="B107" s="19" t="s">
        <v>959</v>
      </c>
      <c r="C107" s="19" t="s">
        <v>980</v>
      </c>
      <c r="D107" s="18" t="s">
        <v>77</v>
      </c>
      <c r="E107" s="108"/>
      <c r="F107" s="18">
        <v>63704</v>
      </c>
      <c r="G107" s="19" t="s">
        <v>1068</v>
      </c>
      <c r="H107" s="18">
        <v>8</v>
      </c>
      <c r="I107" s="18" t="s">
        <v>48</v>
      </c>
      <c r="J107" s="44"/>
      <c r="K107" s="56"/>
    </row>
    <row r="108" spans="1:11" ht="15.75" customHeight="1" x14ac:dyDescent="0.2">
      <c r="A108" s="18" t="s">
        <v>44</v>
      </c>
      <c r="B108" s="19" t="s">
        <v>959</v>
      </c>
      <c r="C108" s="19" t="s">
        <v>980</v>
      </c>
      <c r="D108" s="18" t="s">
        <v>77</v>
      </c>
      <c r="E108" s="108"/>
      <c r="F108" s="18">
        <v>63705</v>
      </c>
      <c r="G108" s="19" t="s">
        <v>1069</v>
      </c>
      <c r="H108" s="18">
        <v>8</v>
      </c>
      <c r="I108" s="18" t="s">
        <v>48</v>
      </c>
      <c r="J108" s="44"/>
      <c r="K108" s="56"/>
    </row>
    <row r="109" spans="1:11" ht="15.75" customHeight="1" x14ac:dyDescent="0.2">
      <c r="A109" s="18" t="s">
        <v>44</v>
      </c>
      <c r="B109" s="19" t="s">
        <v>959</v>
      </c>
      <c r="C109" s="19" t="s">
        <v>980</v>
      </c>
      <c r="D109" s="18" t="s">
        <v>77</v>
      </c>
      <c r="E109" s="108"/>
      <c r="F109" s="18">
        <v>63706</v>
      </c>
      <c r="G109" s="19" t="s">
        <v>1070</v>
      </c>
      <c r="H109" s="18">
        <v>5</v>
      </c>
      <c r="I109" s="18" t="s">
        <v>48</v>
      </c>
      <c r="J109" s="44"/>
      <c r="K109" s="56"/>
    </row>
    <row r="110" spans="1:11" ht="15.75" customHeight="1" x14ac:dyDescent="0.2">
      <c r="A110" s="18" t="s">
        <v>44</v>
      </c>
      <c r="B110" s="19" t="s">
        <v>959</v>
      </c>
      <c r="C110" s="19" t="s">
        <v>980</v>
      </c>
      <c r="D110" s="18" t="s">
        <v>77</v>
      </c>
      <c r="E110" s="108"/>
      <c r="F110" s="18">
        <v>63707</v>
      </c>
      <c r="G110" s="19" t="s">
        <v>1071</v>
      </c>
      <c r="H110" s="18">
        <v>5</v>
      </c>
      <c r="I110" s="18" t="s">
        <v>48</v>
      </c>
      <c r="J110" s="44"/>
      <c r="K110" s="56"/>
    </row>
    <row r="111" spans="1:11" ht="15.75" customHeight="1" x14ac:dyDescent="0.2">
      <c r="A111" s="18" t="s">
        <v>44</v>
      </c>
      <c r="B111" s="19" t="s">
        <v>959</v>
      </c>
      <c r="C111" s="19" t="s">
        <v>980</v>
      </c>
      <c r="D111" s="18" t="s">
        <v>77</v>
      </c>
      <c r="E111" s="108"/>
      <c r="F111" s="18">
        <v>63708</v>
      </c>
      <c r="G111" s="19" t="s">
        <v>1072</v>
      </c>
      <c r="H111" s="18">
        <v>5</v>
      </c>
      <c r="I111" s="18" t="s">
        <v>48</v>
      </c>
      <c r="J111" s="44"/>
      <c r="K111" s="56"/>
    </row>
    <row r="112" spans="1:11" ht="15.75" customHeight="1" x14ac:dyDescent="0.2">
      <c r="A112" s="18" t="s">
        <v>44</v>
      </c>
      <c r="B112" s="19" t="s">
        <v>959</v>
      </c>
      <c r="C112" s="19" t="s">
        <v>980</v>
      </c>
      <c r="D112" s="18" t="s">
        <v>77</v>
      </c>
      <c r="E112" s="108"/>
      <c r="F112" s="18">
        <v>63709</v>
      </c>
      <c r="G112" s="19" t="s">
        <v>1073</v>
      </c>
      <c r="H112" s="18">
        <v>2</v>
      </c>
      <c r="I112" s="18" t="s">
        <v>48</v>
      </c>
      <c r="J112" s="44"/>
      <c r="K112" s="56"/>
    </row>
    <row r="113" spans="1:11" ht="15.75" customHeight="1" x14ac:dyDescent="0.2">
      <c r="A113" s="18" t="s">
        <v>44</v>
      </c>
      <c r="B113" s="19" t="s">
        <v>959</v>
      </c>
      <c r="C113" s="19" t="s">
        <v>980</v>
      </c>
      <c r="D113" s="18" t="s">
        <v>77</v>
      </c>
      <c r="E113" s="108"/>
      <c r="F113" s="18">
        <v>63741</v>
      </c>
      <c r="G113" s="19" t="s">
        <v>1074</v>
      </c>
      <c r="H113" s="18">
        <v>2</v>
      </c>
      <c r="I113" s="18" t="s">
        <v>48</v>
      </c>
      <c r="J113" s="44"/>
      <c r="K113" s="56"/>
    </row>
    <row r="114" spans="1:11" ht="15.75" customHeight="1" x14ac:dyDescent="0.2">
      <c r="A114" s="18" t="s">
        <v>44</v>
      </c>
      <c r="B114" s="19" t="s">
        <v>959</v>
      </c>
      <c r="C114" s="19" t="s">
        <v>980</v>
      </c>
      <c r="D114" s="18" t="s">
        <v>77</v>
      </c>
      <c r="E114" s="108"/>
      <c r="F114" s="18">
        <v>63710</v>
      </c>
      <c r="G114" s="19" t="s">
        <v>1075</v>
      </c>
      <c r="H114" s="18">
        <v>1</v>
      </c>
      <c r="I114" s="18" t="s">
        <v>48</v>
      </c>
      <c r="J114" s="44"/>
      <c r="K114" s="56"/>
    </row>
    <row r="115" spans="1:11" ht="15.75" customHeight="1" x14ac:dyDescent="0.2">
      <c r="A115" s="18" t="s">
        <v>44</v>
      </c>
      <c r="B115" s="19" t="s">
        <v>959</v>
      </c>
      <c r="C115" s="19" t="s">
        <v>980</v>
      </c>
      <c r="D115" s="18" t="s">
        <v>77</v>
      </c>
      <c r="E115" s="108"/>
      <c r="F115" s="18">
        <v>63711</v>
      </c>
      <c r="G115" s="19" t="s">
        <v>1076</v>
      </c>
      <c r="H115" s="18">
        <v>1</v>
      </c>
      <c r="I115" s="18" t="s">
        <v>48</v>
      </c>
      <c r="J115" s="44"/>
      <c r="K115" s="56"/>
    </row>
    <row r="116" spans="1:11" ht="15.75" customHeight="1" x14ac:dyDescent="0.2">
      <c r="A116" s="18" t="s">
        <v>44</v>
      </c>
      <c r="B116" s="19" t="s">
        <v>959</v>
      </c>
      <c r="C116" s="19" t="s">
        <v>980</v>
      </c>
      <c r="D116" s="18" t="s">
        <v>77</v>
      </c>
      <c r="E116" s="108"/>
      <c r="F116" s="18">
        <v>63712</v>
      </c>
      <c r="G116" s="19" t="s">
        <v>1077</v>
      </c>
      <c r="H116" s="18">
        <v>1</v>
      </c>
      <c r="I116" s="18" t="s">
        <v>48</v>
      </c>
      <c r="J116" s="44"/>
      <c r="K116" s="56"/>
    </row>
    <row r="117" spans="1:11" ht="15.75" customHeight="1" x14ac:dyDescent="0.2">
      <c r="A117" s="18" t="s">
        <v>44</v>
      </c>
      <c r="B117" s="19" t="s">
        <v>959</v>
      </c>
      <c r="C117" s="19" t="s">
        <v>980</v>
      </c>
      <c r="D117" s="18" t="s">
        <v>77</v>
      </c>
      <c r="E117" s="108"/>
      <c r="F117" s="18">
        <v>63713</v>
      </c>
      <c r="G117" s="19" t="s">
        <v>1078</v>
      </c>
      <c r="H117" s="18">
        <v>1</v>
      </c>
      <c r="I117" s="18" t="s">
        <v>48</v>
      </c>
      <c r="J117" s="44"/>
      <c r="K117" s="56"/>
    </row>
    <row r="118" spans="1:11" ht="15.75" customHeight="1" x14ac:dyDescent="0.2">
      <c r="A118" s="18" t="s">
        <v>44</v>
      </c>
      <c r="B118" s="19" t="s">
        <v>959</v>
      </c>
      <c r="C118" s="19" t="s">
        <v>980</v>
      </c>
      <c r="D118" s="18" t="s">
        <v>77</v>
      </c>
      <c r="E118" s="107" t="e" vm="197">
        <v>#VALUE!</v>
      </c>
      <c r="F118" s="18">
        <v>63714</v>
      </c>
      <c r="G118" s="19" t="s">
        <v>1079</v>
      </c>
      <c r="H118" s="18">
        <v>15</v>
      </c>
      <c r="I118" s="18" t="s">
        <v>48</v>
      </c>
      <c r="J118" s="44"/>
      <c r="K118" s="56"/>
    </row>
    <row r="119" spans="1:11" ht="15.75" customHeight="1" x14ac:dyDescent="0.2">
      <c r="A119" s="18" t="s">
        <v>44</v>
      </c>
      <c r="B119" s="19" t="s">
        <v>959</v>
      </c>
      <c r="C119" s="19" t="s">
        <v>980</v>
      </c>
      <c r="D119" s="18" t="s">
        <v>77</v>
      </c>
      <c r="E119" s="108"/>
      <c r="F119" s="18">
        <v>63715</v>
      </c>
      <c r="G119" s="19" t="s">
        <v>1080</v>
      </c>
      <c r="H119" s="18">
        <v>15</v>
      </c>
      <c r="I119" s="18" t="s">
        <v>48</v>
      </c>
      <c r="J119" s="44"/>
      <c r="K119" s="56"/>
    </row>
    <row r="120" spans="1:11" ht="15.75" customHeight="1" x14ac:dyDescent="0.2">
      <c r="A120" s="18" t="s">
        <v>44</v>
      </c>
      <c r="B120" s="19" t="s">
        <v>959</v>
      </c>
      <c r="C120" s="19" t="s">
        <v>980</v>
      </c>
      <c r="D120" s="18" t="s">
        <v>77</v>
      </c>
      <c r="E120" s="108"/>
      <c r="F120" s="18">
        <v>63716</v>
      </c>
      <c r="G120" s="19" t="s">
        <v>1081</v>
      </c>
      <c r="H120" s="18">
        <v>15</v>
      </c>
      <c r="I120" s="18" t="s">
        <v>48</v>
      </c>
      <c r="J120" s="44"/>
      <c r="K120" s="56"/>
    </row>
    <row r="121" spans="1:11" ht="15.75" customHeight="1" x14ac:dyDescent="0.2">
      <c r="A121" s="18" t="s">
        <v>44</v>
      </c>
      <c r="B121" s="19" t="s">
        <v>959</v>
      </c>
      <c r="C121" s="19" t="s">
        <v>980</v>
      </c>
      <c r="D121" s="18" t="s">
        <v>77</v>
      </c>
      <c r="E121" s="108"/>
      <c r="F121" s="18">
        <v>63717</v>
      </c>
      <c r="G121" s="19" t="s">
        <v>1082</v>
      </c>
      <c r="H121" s="18">
        <v>8</v>
      </c>
      <c r="I121" s="18" t="s">
        <v>48</v>
      </c>
      <c r="J121" s="44"/>
      <c r="K121" s="56"/>
    </row>
    <row r="122" spans="1:11" ht="15.75" customHeight="1" x14ac:dyDescent="0.2">
      <c r="A122" s="18" t="s">
        <v>44</v>
      </c>
      <c r="B122" s="19" t="s">
        <v>959</v>
      </c>
      <c r="C122" s="19" t="s">
        <v>980</v>
      </c>
      <c r="D122" s="18" t="s">
        <v>77</v>
      </c>
      <c r="E122" s="108"/>
      <c r="F122" s="18">
        <v>63718</v>
      </c>
      <c r="G122" s="19" t="s">
        <v>1083</v>
      </c>
      <c r="H122" s="18">
        <v>8</v>
      </c>
      <c r="I122" s="18" t="s">
        <v>48</v>
      </c>
      <c r="J122" s="44"/>
      <c r="K122" s="56"/>
    </row>
    <row r="123" spans="1:11" ht="15.75" customHeight="1" x14ac:dyDescent="0.2">
      <c r="A123" s="18" t="s">
        <v>44</v>
      </c>
      <c r="B123" s="19" t="s">
        <v>959</v>
      </c>
      <c r="C123" s="19" t="s">
        <v>980</v>
      </c>
      <c r="D123" s="18" t="s">
        <v>77</v>
      </c>
      <c r="E123" s="108"/>
      <c r="F123" s="18">
        <v>63719</v>
      </c>
      <c r="G123" s="19" t="s">
        <v>1084</v>
      </c>
      <c r="H123" s="18">
        <v>8</v>
      </c>
      <c r="I123" s="18" t="s">
        <v>48</v>
      </c>
      <c r="J123" s="44"/>
      <c r="K123" s="56"/>
    </row>
    <row r="124" spans="1:11" ht="15.75" customHeight="1" x14ac:dyDescent="0.2">
      <c r="A124" s="18" t="s">
        <v>44</v>
      </c>
      <c r="B124" s="19" t="s">
        <v>959</v>
      </c>
      <c r="C124" s="19" t="s">
        <v>980</v>
      </c>
      <c r="D124" s="18" t="s">
        <v>77</v>
      </c>
      <c r="E124" s="108"/>
      <c r="F124" s="18">
        <v>63720</v>
      </c>
      <c r="G124" s="19" t="s">
        <v>1085</v>
      </c>
      <c r="H124" s="18">
        <v>5</v>
      </c>
      <c r="I124" s="18" t="s">
        <v>48</v>
      </c>
      <c r="J124" s="44"/>
      <c r="K124" s="56"/>
    </row>
    <row r="125" spans="1:11" ht="15.75" customHeight="1" x14ac:dyDescent="0.2">
      <c r="A125" s="18" t="s">
        <v>44</v>
      </c>
      <c r="B125" s="19" t="s">
        <v>959</v>
      </c>
      <c r="C125" s="19" t="s">
        <v>980</v>
      </c>
      <c r="D125" s="18" t="s">
        <v>77</v>
      </c>
      <c r="E125" s="108"/>
      <c r="F125" s="18">
        <v>63721</v>
      </c>
      <c r="G125" s="19" t="s">
        <v>1086</v>
      </c>
      <c r="H125" s="18">
        <v>5</v>
      </c>
      <c r="I125" s="18" t="s">
        <v>48</v>
      </c>
      <c r="J125" s="44"/>
      <c r="K125" s="56"/>
    </row>
    <row r="126" spans="1:11" ht="15.75" customHeight="1" x14ac:dyDescent="0.2">
      <c r="A126" s="18" t="s">
        <v>44</v>
      </c>
      <c r="B126" s="19" t="s">
        <v>959</v>
      </c>
      <c r="C126" s="19" t="s">
        <v>980</v>
      </c>
      <c r="D126" s="18" t="s">
        <v>77</v>
      </c>
      <c r="E126" s="108"/>
      <c r="F126" s="18">
        <v>63722</v>
      </c>
      <c r="G126" s="19" t="s">
        <v>1087</v>
      </c>
      <c r="H126" s="18">
        <v>5</v>
      </c>
      <c r="I126" s="18" t="s">
        <v>48</v>
      </c>
      <c r="J126" s="44"/>
      <c r="K126" s="56"/>
    </row>
    <row r="127" spans="1:11" ht="15.75" customHeight="1" x14ac:dyDescent="0.2">
      <c r="A127" s="18" t="s">
        <v>44</v>
      </c>
      <c r="B127" s="19" t="s">
        <v>959</v>
      </c>
      <c r="C127" s="19" t="s">
        <v>980</v>
      </c>
      <c r="D127" s="18" t="s">
        <v>77</v>
      </c>
      <c r="E127" s="108"/>
      <c r="F127" s="18">
        <v>63723</v>
      </c>
      <c r="G127" s="19" t="s">
        <v>1088</v>
      </c>
      <c r="H127" s="18">
        <v>5</v>
      </c>
      <c r="I127" s="18" t="s">
        <v>48</v>
      </c>
      <c r="J127" s="44"/>
      <c r="K127" s="56"/>
    </row>
    <row r="128" spans="1:11" ht="15.75" customHeight="1" x14ac:dyDescent="0.2">
      <c r="A128" s="18" t="s">
        <v>44</v>
      </c>
      <c r="B128" s="19" t="s">
        <v>959</v>
      </c>
      <c r="C128" s="19" t="s">
        <v>980</v>
      </c>
      <c r="D128" s="18" t="s">
        <v>77</v>
      </c>
      <c r="E128" s="108"/>
      <c r="F128" s="18">
        <v>63724</v>
      </c>
      <c r="G128" s="19" t="s">
        <v>1089</v>
      </c>
      <c r="H128" s="18">
        <v>2</v>
      </c>
      <c r="I128" s="18" t="s">
        <v>48</v>
      </c>
      <c r="J128" s="44"/>
      <c r="K128" s="56"/>
    </row>
    <row r="129" spans="1:11" ht="15.75" customHeight="1" x14ac:dyDescent="0.2">
      <c r="A129" s="18" t="s">
        <v>44</v>
      </c>
      <c r="B129" s="19" t="s">
        <v>959</v>
      </c>
      <c r="C129" s="19" t="s">
        <v>980</v>
      </c>
      <c r="D129" s="18" t="s">
        <v>77</v>
      </c>
      <c r="E129" s="108"/>
      <c r="F129" s="18">
        <v>63725</v>
      </c>
      <c r="G129" s="19" t="s">
        <v>1090</v>
      </c>
      <c r="H129" s="18">
        <v>2</v>
      </c>
      <c r="I129" s="18" t="s">
        <v>48</v>
      </c>
      <c r="J129" s="44"/>
      <c r="K129" s="56"/>
    </row>
    <row r="130" spans="1:11" ht="15.75" customHeight="1" x14ac:dyDescent="0.2">
      <c r="A130" s="18" t="s">
        <v>44</v>
      </c>
      <c r="B130" s="19" t="s">
        <v>959</v>
      </c>
      <c r="C130" s="19" t="s">
        <v>980</v>
      </c>
      <c r="D130" s="18" t="s">
        <v>77</v>
      </c>
      <c r="E130" s="108"/>
      <c r="F130" s="18">
        <v>63726</v>
      </c>
      <c r="G130" s="19" t="s">
        <v>1091</v>
      </c>
      <c r="H130" s="18">
        <v>2</v>
      </c>
      <c r="I130" s="18" t="s">
        <v>48</v>
      </c>
      <c r="J130" s="44"/>
      <c r="K130" s="56"/>
    </row>
    <row r="131" spans="1:11" ht="15.75" customHeight="1" x14ac:dyDescent="0.2">
      <c r="A131" s="18" t="s">
        <v>44</v>
      </c>
      <c r="B131" s="19" t="s">
        <v>959</v>
      </c>
      <c r="C131" s="19" t="s">
        <v>980</v>
      </c>
      <c r="D131" s="18" t="s">
        <v>77</v>
      </c>
      <c r="E131" s="108"/>
      <c r="F131" s="18">
        <v>63727</v>
      </c>
      <c r="G131" s="19" t="s">
        <v>1092</v>
      </c>
      <c r="H131" s="18">
        <v>1</v>
      </c>
      <c r="I131" s="18" t="s">
        <v>48</v>
      </c>
      <c r="J131" s="44"/>
      <c r="K131" s="56"/>
    </row>
    <row r="132" spans="1:11" ht="15.75" customHeight="1" x14ac:dyDescent="0.2">
      <c r="A132" s="18" t="s">
        <v>44</v>
      </c>
      <c r="B132" s="19" t="s">
        <v>959</v>
      </c>
      <c r="C132" s="19" t="s">
        <v>980</v>
      </c>
      <c r="D132" s="18" t="s">
        <v>77</v>
      </c>
      <c r="E132" s="108"/>
      <c r="F132" s="18">
        <v>63728</v>
      </c>
      <c r="G132" s="19" t="s">
        <v>1093</v>
      </c>
      <c r="H132" s="18">
        <v>1</v>
      </c>
      <c r="I132" s="18" t="s">
        <v>48</v>
      </c>
      <c r="J132" s="44"/>
      <c r="K132" s="56"/>
    </row>
    <row r="133" spans="1:11" ht="15.75" customHeight="1" x14ac:dyDescent="0.2">
      <c r="A133" s="18" t="s">
        <v>44</v>
      </c>
      <c r="B133" s="19" t="s">
        <v>959</v>
      </c>
      <c r="C133" s="19" t="s">
        <v>980</v>
      </c>
      <c r="D133" s="18" t="s">
        <v>77</v>
      </c>
      <c r="E133" s="108"/>
      <c r="F133" s="18">
        <v>63729</v>
      </c>
      <c r="G133" s="19" t="s">
        <v>1094</v>
      </c>
      <c r="H133" s="18">
        <v>1</v>
      </c>
      <c r="I133" s="18" t="s">
        <v>48</v>
      </c>
      <c r="J133" s="44"/>
      <c r="K133" s="56"/>
    </row>
    <row r="134" spans="1:11" ht="15.75" customHeight="1" x14ac:dyDescent="0.2">
      <c r="A134" s="18" t="s">
        <v>44</v>
      </c>
      <c r="B134" s="19" t="s">
        <v>959</v>
      </c>
      <c r="C134" s="19" t="s">
        <v>980</v>
      </c>
      <c r="D134" s="18" t="s">
        <v>77</v>
      </c>
      <c r="E134" s="108"/>
      <c r="F134" s="18">
        <v>63730</v>
      </c>
      <c r="G134" s="19" t="s">
        <v>1095</v>
      </c>
      <c r="H134" s="18">
        <v>1</v>
      </c>
      <c r="I134" s="18" t="s">
        <v>48</v>
      </c>
      <c r="J134" s="44"/>
      <c r="K134" s="56"/>
    </row>
    <row r="135" spans="1:11" ht="15.75" customHeight="1" x14ac:dyDescent="0.2">
      <c r="A135" s="18" t="s">
        <v>44</v>
      </c>
      <c r="B135" s="19" t="s">
        <v>959</v>
      </c>
      <c r="C135" s="19" t="s">
        <v>980</v>
      </c>
      <c r="D135" s="18" t="s">
        <v>77</v>
      </c>
      <c r="E135" s="108"/>
      <c r="F135" s="18">
        <v>63731</v>
      </c>
      <c r="G135" s="19" t="s">
        <v>1096</v>
      </c>
      <c r="H135" s="18">
        <v>1</v>
      </c>
      <c r="I135" s="18" t="s">
        <v>48</v>
      </c>
      <c r="J135" s="44"/>
      <c r="K135" s="56"/>
    </row>
    <row r="136" spans="1:11" ht="15.75" customHeight="1" x14ac:dyDescent="0.2">
      <c r="A136" s="18" t="s">
        <v>44</v>
      </c>
      <c r="B136" s="19" t="s">
        <v>959</v>
      </c>
      <c r="C136" s="19" t="s">
        <v>980</v>
      </c>
      <c r="D136" s="18" t="s">
        <v>77</v>
      </c>
      <c r="E136" s="108"/>
      <c r="F136" s="18">
        <v>63732</v>
      </c>
      <c r="G136" s="19" t="s">
        <v>1097</v>
      </c>
      <c r="H136" s="18">
        <v>1</v>
      </c>
      <c r="I136" s="18" t="s">
        <v>48</v>
      </c>
      <c r="J136" s="44"/>
      <c r="K136" s="56"/>
    </row>
    <row r="137" spans="1:11" ht="15.75" customHeight="1" x14ac:dyDescent="0.2">
      <c r="A137" s="18" t="s">
        <v>44</v>
      </c>
      <c r="B137" s="19" t="s">
        <v>959</v>
      </c>
      <c r="C137" s="19" t="s">
        <v>980</v>
      </c>
      <c r="D137" s="18" t="s">
        <v>77</v>
      </c>
      <c r="E137" s="108"/>
      <c r="F137" s="18">
        <v>63733</v>
      </c>
      <c r="G137" s="19" t="s">
        <v>1098</v>
      </c>
      <c r="H137" s="18">
        <v>1</v>
      </c>
      <c r="I137" s="18" t="s">
        <v>48</v>
      </c>
      <c r="J137" s="44"/>
      <c r="K137" s="56"/>
    </row>
    <row r="138" spans="1:11" ht="15.75" customHeight="1" x14ac:dyDescent="0.2">
      <c r="A138" s="18" t="s">
        <v>44</v>
      </c>
      <c r="B138" s="19" t="s">
        <v>959</v>
      </c>
      <c r="C138" s="19" t="s">
        <v>980</v>
      </c>
      <c r="D138" s="18" t="s">
        <v>77</v>
      </c>
      <c r="E138" s="120" t="e" vm="198">
        <v>#VALUE!</v>
      </c>
      <c r="F138" s="18">
        <v>63301</v>
      </c>
      <c r="G138" s="19" t="s">
        <v>1099</v>
      </c>
      <c r="H138" s="18">
        <v>20</v>
      </c>
      <c r="I138" s="18" t="s">
        <v>48</v>
      </c>
      <c r="J138" s="44"/>
      <c r="K138" s="56"/>
    </row>
    <row r="139" spans="1:11" ht="15.75" customHeight="1" x14ac:dyDescent="0.2">
      <c r="A139" s="18" t="s">
        <v>44</v>
      </c>
      <c r="B139" s="19" t="s">
        <v>959</v>
      </c>
      <c r="C139" s="19" t="s">
        <v>980</v>
      </c>
      <c r="D139" s="18" t="s">
        <v>77</v>
      </c>
      <c r="E139" s="109"/>
      <c r="F139" s="18">
        <v>63302</v>
      </c>
      <c r="G139" s="19" t="s">
        <v>1100</v>
      </c>
      <c r="H139" s="18">
        <v>10</v>
      </c>
      <c r="I139" s="18" t="s">
        <v>48</v>
      </c>
      <c r="J139" s="44"/>
      <c r="K139" s="56"/>
    </row>
    <row r="140" spans="1:11" ht="15.75" customHeight="1" x14ac:dyDescent="0.2">
      <c r="A140" s="18" t="s">
        <v>44</v>
      </c>
      <c r="B140" s="19" t="s">
        <v>959</v>
      </c>
      <c r="C140" s="19" t="s">
        <v>980</v>
      </c>
      <c r="D140" s="18" t="s">
        <v>77</v>
      </c>
      <c r="E140" s="109"/>
      <c r="F140" s="18">
        <v>63303</v>
      </c>
      <c r="G140" s="19" t="s">
        <v>1101</v>
      </c>
      <c r="H140" s="18">
        <v>6</v>
      </c>
      <c r="I140" s="18" t="s">
        <v>48</v>
      </c>
      <c r="J140" s="44"/>
      <c r="K140" s="56"/>
    </row>
    <row r="141" spans="1:11" ht="15.75" customHeight="1" x14ac:dyDescent="0.2">
      <c r="A141" s="18" t="s">
        <v>44</v>
      </c>
      <c r="B141" s="19" t="s">
        <v>959</v>
      </c>
      <c r="C141" s="19" t="s">
        <v>980</v>
      </c>
      <c r="D141" s="18" t="s">
        <v>77</v>
      </c>
      <c r="E141" s="109"/>
      <c r="F141" s="18">
        <v>63305</v>
      </c>
      <c r="G141" s="19" t="s">
        <v>1102</v>
      </c>
      <c r="H141" s="18">
        <v>3</v>
      </c>
      <c r="I141" s="18" t="s">
        <v>48</v>
      </c>
      <c r="J141" s="44"/>
      <c r="K141" s="56"/>
    </row>
    <row r="142" spans="1:11" ht="15.75" customHeight="1" x14ac:dyDescent="0.2">
      <c r="A142" s="18" t="s">
        <v>44</v>
      </c>
      <c r="B142" s="19" t="s">
        <v>959</v>
      </c>
      <c r="C142" s="19" t="s">
        <v>980</v>
      </c>
      <c r="D142" s="18" t="s">
        <v>77</v>
      </c>
      <c r="E142" s="109"/>
      <c r="F142" s="18">
        <v>63306</v>
      </c>
      <c r="G142" s="19" t="s">
        <v>1103</v>
      </c>
      <c r="H142" s="18">
        <v>1</v>
      </c>
      <c r="I142" s="18" t="s">
        <v>48</v>
      </c>
      <c r="J142" s="44"/>
      <c r="K142" s="56"/>
    </row>
    <row r="143" spans="1:11" ht="15.75" customHeight="1" x14ac:dyDescent="0.2">
      <c r="A143" s="18" t="s">
        <v>44</v>
      </c>
      <c r="B143" s="19" t="s">
        <v>959</v>
      </c>
      <c r="C143" s="19" t="s">
        <v>980</v>
      </c>
      <c r="D143" s="18" t="s">
        <v>77</v>
      </c>
      <c r="E143" s="109"/>
      <c r="F143" s="18">
        <v>63307</v>
      </c>
      <c r="G143" s="19" t="s">
        <v>1104</v>
      </c>
      <c r="H143" s="18">
        <v>1</v>
      </c>
      <c r="I143" s="18" t="s">
        <v>48</v>
      </c>
      <c r="J143" s="44"/>
      <c r="K143" s="56"/>
    </row>
    <row r="144" spans="1:11" ht="15.75" customHeight="1" x14ac:dyDescent="0.2">
      <c r="A144" s="18" t="s">
        <v>44</v>
      </c>
      <c r="B144" s="19" t="s">
        <v>959</v>
      </c>
      <c r="C144" s="19" t="s">
        <v>980</v>
      </c>
      <c r="D144" s="18" t="s">
        <v>77</v>
      </c>
      <c r="E144" s="107" t="e" vm="199">
        <v>#VALUE!</v>
      </c>
      <c r="F144" s="18">
        <v>63310</v>
      </c>
      <c r="G144" s="19" t="s">
        <v>1105</v>
      </c>
      <c r="H144" s="18">
        <v>30</v>
      </c>
      <c r="I144" s="18" t="s">
        <v>48</v>
      </c>
      <c r="J144" s="44"/>
      <c r="K144" s="56"/>
    </row>
    <row r="145" spans="1:11" ht="15.75" customHeight="1" x14ac:dyDescent="0.2">
      <c r="A145" s="18" t="s">
        <v>44</v>
      </c>
      <c r="B145" s="19" t="s">
        <v>959</v>
      </c>
      <c r="C145" s="19" t="s">
        <v>980</v>
      </c>
      <c r="D145" s="18" t="s">
        <v>77</v>
      </c>
      <c r="E145" s="108"/>
      <c r="F145" s="18">
        <v>63311</v>
      </c>
      <c r="G145" s="19" t="s">
        <v>1106</v>
      </c>
      <c r="H145" s="18">
        <v>30</v>
      </c>
      <c r="I145" s="18" t="s">
        <v>48</v>
      </c>
      <c r="J145" s="44"/>
      <c r="K145" s="56"/>
    </row>
    <row r="146" spans="1:11" ht="15.75" customHeight="1" x14ac:dyDescent="0.2">
      <c r="A146" s="18" t="s">
        <v>44</v>
      </c>
      <c r="B146" s="19" t="s">
        <v>959</v>
      </c>
      <c r="C146" s="19" t="s">
        <v>980</v>
      </c>
      <c r="D146" s="18" t="s">
        <v>77</v>
      </c>
      <c r="E146" s="108"/>
      <c r="F146" s="18">
        <v>63312</v>
      </c>
      <c r="G146" s="19" t="s">
        <v>1107</v>
      </c>
      <c r="H146" s="18">
        <v>30</v>
      </c>
      <c r="I146" s="18" t="s">
        <v>48</v>
      </c>
      <c r="J146" s="44"/>
      <c r="K146" s="56"/>
    </row>
    <row r="147" spans="1:11" ht="15.75" customHeight="1" x14ac:dyDescent="0.2">
      <c r="A147" s="18" t="s">
        <v>44</v>
      </c>
      <c r="B147" s="19" t="s">
        <v>959</v>
      </c>
      <c r="C147" s="19" t="s">
        <v>980</v>
      </c>
      <c r="D147" s="18" t="s">
        <v>77</v>
      </c>
      <c r="E147" s="108"/>
      <c r="F147" s="18">
        <v>63313</v>
      </c>
      <c r="G147" s="19" t="s">
        <v>1108</v>
      </c>
      <c r="H147" s="18">
        <v>15</v>
      </c>
      <c r="I147" s="18" t="s">
        <v>48</v>
      </c>
      <c r="J147" s="44"/>
      <c r="K147" s="56"/>
    </row>
    <row r="148" spans="1:11" ht="15.75" customHeight="1" x14ac:dyDescent="0.2">
      <c r="A148" s="18" t="s">
        <v>44</v>
      </c>
      <c r="B148" s="19" t="s">
        <v>959</v>
      </c>
      <c r="C148" s="19" t="s">
        <v>980</v>
      </c>
      <c r="D148" s="18" t="s">
        <v>77</v>
      </c>
      <c r="E148" s="108"/>
      <c r="F148" s="18">
        <v>63314</v>
      </c>
      <c r="G148" s="19" t="s">
        <v>1109</v>
      </c>
      <c r="H148" s="18">
        <v>15</v>
      </c>
      <c r="I148" s="18" t="s">
        <v>48</v>
      </c>
      <c r="J148" s="44"/>
      <c r="K148" s="56"/>
    </row>
    <row r="149" spans="1:11" ht="15.75" customHeight="1" x14ac:dyDescent="0.2">
      <c r="A149" s="18" t="s">
        <v>44</v>
      </c>
      <c r="B149" s="19" t="s">
        <v>959</v>
      </c>
      <c r="C149" s="19" t="s">
        <v>980</v>
      </c>
      <c r="D149" s="18" t="s">
        <v>77</v>
      </c>
      <c r="E149" s="108"/>
      <c r="F149" s="18">
        <v>63315</v>
      </c>
      <c r="G149" s="19" t="s">
        <v>1110</v>
      </c>
      <c r="H149" s="18">
        <v>15</v>
      </c>
      <c r="I149" s="18" t="s">
        <v>48</v>
      </c>
      <c r="J149" s="44"/>
      <c r="K149" s="56"/>
    </row>
    <row r="150" spans="1:11" ht="15.75" customHeight="1" x14ac:dyDescent="0.2">
      <c r="A150" s="18" t="s">
        <v>44</v>
      </c>
      <c r="B150" s="19" t="s">
        <v>959</v>
      </c>
      <c r="C150" s="19" t="s">
        <v>980</v>
      </c>
      <c r="D150" s="18" t="s">
        <v>77</v>
      </c>
      <c r="E150" s="108"/>
      <c r="F150" s="18">
        <v>63316</v>
      </c>
      <c r="G150" s="19" t="s">
        <v>1111</v>
      </c>
      <c r="H150" s="18">
        <v>10</v>
      </c>
      <c r="I150" s="18" t="s">
        <v>48</v>
      </c>
      <c r="J150" s="44"/>
      <c r="K150" s="56"/>
    </row>
    <row r="151" spans="1:11" ht="15.75" customHeight="1" x14ac:dyDescent="0.2">
      <c r="A151" s="18" t="s">
        <v>44</v>
      </c>
      <c r="B151" s="19" t="s">
        <v>959</v>
      </c>
      <c r="C151" s="19" t="s">
        <v>980</v>
      </c>
      <c r="D151" s="18" t="s">
        <v>77</v>
      </c>
      <c r="E151" s="108"/>
      <c r="F151" s="18">
        <v>63317</v>
      </c>
      <c r="G151" s="19" t="s">
        <v>1112</v>
      </c>
      <c r="H151" s="18">
        <v>10</v>
      </c>
      <c r="I151" s="18" t="s">
        <v>48</v>
      </c>
      <c r="J151" s="44"/>
      <c r="K151" s="56"/>
    </row>
    <row r="152" spans="1:11" ht="15.75" customHeight="1" x14ac:dyDescent="0.2">
      <c r="A152" s="18" t="s">
        <v>44</v>
      </c>
      <c r="B152" s="19" t="s">
        <v>959</v>
      </c>
      <c r="C152" s="19" t="s">
        <v>980</v>
      </c>
      <c r="D152" s="18" t="s">
        <v>77</v>
      </c>
      <c r="E152" s="108"/>
      <c r="F152" s="18">
        <v>63318</v>
      </c>
      <c r="G152" s="19" t="s">
        <v>1113</v>
      </c>
      <c r="H152" s="18">
        <v>10</v>
      </c>
      <c r="I152" s="18" t="s">
        <v>48</v>
      </c>
      <c r="J152" s="44"/>
      <c r="K152" s="56"/>
    </row>
    <row r="153" spans="1:11" ht="15.75" customHeight="1" x14ac:dyDescent="0.2">
      <c r="A153" s="18" t="s">
        <v>44</v>
      </c>
      <c r="B153" s="19" t="s">
        <v>959</v>
      </c>
      <c r="C153" s="19" t="s">
        <v>980</v>
      </c>
      <c r="D153" s="18" t="s">
        <v>77</v>
      </c>
      <c r="E153" s="108"/>
      <c r="F153" s="18">
        <v>63319</v>
      </c>
      <c r="G153" s="19" t="s">
        <v>1114</v>
      </c>
      <c r="H153" s="18">
        <v>5</v>
      </c>
      <c r="I153" s="18" t="s">
        <v>48</v>
      </c>
      <c r="J153" s="44"/>
      <c r="K153" s="56"/>
    </row>
    <row r="154" spans="1:11" ht="15.75" customHeight="1" x14ac:dyDescent="0.2">
      <c r="A154" s="18" t="s">
        <v>44</v>
      </c>
      <c r="B154" s="19" t="s">
        <v>959</v>
      </c>
      <c r="C154" s="19" t="s">
        <v>980</v>
      </c>
      <c r="D154" s="18" t="s">
        <v>77</v>
      </c>
      <c r="E154" s="108"/>
      <c r="F154" s="18">
        <v>63320</v>
      </c>
      <c r="G154" s="19" t="s">
        <v>1115</v>
      </c>
      <c r="H154" s="18">
        <v>5</v>
      </c>
      <c r="I154" s="18" t="s">
        <v>48</v>
      </c>
      <c r="J154" s="44"/>
      <c r="K154" s="56"/>
    </row>
    <row r="155" spans="1:11" ht="15.75" customHeight="1" x14ac:dyDescent="0.2">
      <c r="A155" s="18" t="s">
        <v>44</v>
      </c>
      <c r="B155" s="19" t="s">
        <v>959</v>
      </c>
      <c r="C155" s="19" t="s">
        <v>980</v>
      </c>
      <c r="D155" s="18" t="s">
        <v>77</v>
      </c>
      <c r="E155" s="108"/>
      <c r="F155" s="18">
        <v>63321</v>
      </c>
      <c r="G155" s="19" t="s">
        <v>1116</v>
      </c>
      <c r="H155" s="18">
        <v>5</v>
      </c>
      <c r="I155" s="18" t="s">
        <v>48</v>
      </c>
      <c r="J155" s="44"/>
      <c r="K155" s="56"/>
    </row>
    <row r="156" spans="1:11" ht="15.75" customHeight="1" x14ac:dyDescent="0.2">
      <c r="A156" s="18" t="s">
        <v>44</v>
      </c>
      <c r="B156" s="19" t="s">
        <v>959</v>
      </c>
      <c r="C156" s="19" t="s">
        <v>980</v>
      </c>
      <c r="D156" s="18" t="s">
        <v>77</v>
      </c>
      <c r="E156" s="108"/>
      <c r="F156" s="18">
        <v>63322</v>
      </c>
      <c r="G156" s="19" t="s">
        <v>1117</v>
      </c>
      <c r="H156" s="18">
        <v>1</v>
      </c>
      <c r="I156" s="18" t="s">
        <v>48</v>
      </c>
      <c r="J156" s="44"/>
      <c r="K156" s="56"/>
    </row>
    <row r="157" spans="1:11" ht="15.75" customHeight="1" x14ac:dyDescent="0.2">
      <c r="A157" s="18" t="s">
        <v>44</v>
      </c>
      <c r="B157" s="19" t="s">
        <v>959</v>
      </c>
      <c r="C157" s="19" t="s">
        <v>980</v>
      </c>
      <c r="D157" s="18" t="s">
        <v>77</v>
      </c>
      <c r="E157" s="108"/>
      <c r="F157" s="18">
        <v>63323</v>
      </c>
      <c r="G157" s="19" t="s">
        <v>1118</v>
      </c>
      <c r="H157" s="18">
        <v>1</v>
      </c>
      <c r="I157" s="18" t="s">
        <v>48</v>
      </c>
      <c r="J157" s="44"/>
      <c r="K157" s="56"/>
    </row>
    <row r="158" spans="1:11" ht="15.75" customHeight="1" x14ac:dyDescent="0.2">
      <c r="A158" s="18" t="s">
        <v>44</v>
      </c>
      <c r="B158" s="19" t="s">
        <v>959</v>
      </c>
      <c r="C158" s="19" t="s">
        <v>980</v>
      </c>
      <c r="D158" s="18" t="s">
        <v>77</v>
      </c>
      <c r="E158" s="108"/>
      <c r="F158" s="18">
        <v>63324</v>
      </c>
      <c r="G158" s="19" t="s">
        <v>1119</v>
      </c>
      <c r="H158" s="18">
        <v>1</v>
      </c>
      <c r="I158" s="18" t="s">
        <v>48</v>
      </c>
      <c r="J158" s="44"/>
      <c r="K158" s="56"/>
    </row>
    <row r="159" spans="1:11" ht="15.75" customHeight="1" x14ac:dyDescent="0.2">
      <c r="A159" s="18" t="s">
        <v>44</v>
      </c>
      <c r="B159" s="19" t="s">
        <v>959</v>
      </c>
      <c r="C159" s="19" t="s">
        <v>980</v>
      </c>
      <c r="D159" s="18" t="s">
        <v>77</v>
      </c>
      <c r="E159" s="108"/>
      <c r="F159" s="18">
        <v>63325</v>
      </c>
      <c r="G159" s="19" t="s">
        <v>1120</v>
      </c>
      <c r="H159" s="18">
        <v>1</v>
      </c>
      <c r="I159" s="18" t="s">
        <v>48</v>
      </c>
      <c r="J159" s="44"/>
      <c r="K159" s="56"/>
    </row>
    <row r="160" spans="1:11" ht="15.75" customHeight="1" x14ac:dyDescent="0.2">
      <c r="A160" s="18" t="s">
        <v>44</v>
      </c>
      <c r="B160" s="19" t="s">
        <v>959</v>
      </c>
      <c r="C160" s="19" t="s">
        <v>980</v>
      </c>
      <c r="D160" s="18" t="s">
        <v>77</v>
      </c>
      <c r="E160" s="108"/>
      <c r="F160" s="18">
        <v>63326</v>
      </c>
      <c r="G160" s="19" t="s">
        <v>1121</v>
      </c>
      <c r="H160" s="18">
        <v>1</v>
      </c>
      <c r="I160" s="18" t="s">
        <v>48</v>
      </c>
      <c r="J160" s="44"/>
      <c r="K160" s="56"/>
    </row>
    <row r="161" spans="1:11" ht="15.75" customHeight="1" x14ac:dyDescent="0.2">
      <c r="A161" s="18" t="s">
        <v>44</v>
      </c>
      <c r="B161" s="19" t="s">
        <v>959</v>
      </c>
      <c r="C161" s="19" t="s">
        <v>980</v>
      </c>
      <c r="D161" s="18" t="s">
        <v>77</v>
      </c>
      <c r="E161" s="107" t="e" vm="200">
        <v>#VALUE!</v>
      </c>
      <c r="F161" s="18">
        <v>63330</v>
      </c>
      <c r="G161" s="19" t="s">
        <v>1122</v>
      </c>
      <c r="H161" s="18">
        <v>30</v>
      </c>
      <c r="I161" s="18" t="s">
        <v>48</v>
      </c>
      <c r="J161" s="44"/>
      <c r="K161" s="56"/>
    </row>
    <row r="162" spans="1:11" ht="15.75" customHeight="1" x14ac:dyDescent="0.2">
      <c r="A162" s="18" t="s">
        <v>44</v>
      </c>
      <c r="B162" s="19" t="s">
        <v>959</v>
      </c>
      <c r="C162" s="19" t="s">
        <v>980</v>
      </c>
      <c r="D162" s="18" t="s">
        <v>77</v>
      </c>
      <c r="E162" s="108"/>
      <c r="F162" s="18">
        <v>63331</v>
      </c>
      <c r="G162" s="19" t="s">
        <v>1123</v>
      </c>
      <c r="H162" s="18">
        <v>30</v>
      </c>
      <c r="I162" s="18" t="s">
        <v>48</v>
      </c>
      <c r="J162" s="44"/>
      <c r="K162" s="56"/>
    </row>
    <row r="163" spans="1:11" ht="15.75" customHeight="1" x14ac:dyDescent="0.2">
      <c r="A163" s="18" t="s">
        <v>44</v>
      </c>
      <c r="B163" s="19" t="s">
        <v>959</v>
      </c>
      <c r="C163" s="19" t="s">
        <v>980</v>
      </c>
      <c r="D163" s="18" t="s">
        <v>77</v>
      </c>
      <c r="E163" s="108"/>
      <c r="F163" s="18">
        <v>63332</v>
      </c>
      <c r="G163" s="19" t="s">
        <v>1124</v>
      </c>
      <c r="H163" s="18">
        <v>30</v>
      </c>
      <c r="I163" s="18" t="s">
        <v>48</v>
      </c>
      <c r="J163" s="44"/>
      <c r="K163" s="56"/>
    </row>
    <row r="164" spans="1:11" ht="15.75" customHeight="1" x14ac:dyDescent="0.2">
      <c r="A164" s="18" t="s">
        <v>44</v>
      </c>
      <c r="B164" s="19" t="s">
        <v>959</v>
      </c>
      <c r="C164" s="19" t="s">
        <v>980</v>
      </c>
      <c r="D164" s="18" t="s">
        <v>77</v>
      </c>
      <c r="E164" s="108"/>
      <c r="F164" s="18">
        <v>63304</v>
      </c>
      <c r="G164" s="19" t="s">
        <v>1125</v>
      </c>
      <c r="H164" s="18">
        <v>20</v>
      </c>
      <c r="I164" s="18" t="s">
        <v>48</v>
      </c>
      <c r="J164" s="44"/>
      <c r="K164" s="56"/>
    </row>
    <row r="165" spans="1:11" ht="15.75" customHeight="1" x14ac:dyDescent="0.2">
      <c r="A165" s="18" t="s">
        <v>44</v>
      </c>
      <c r="B165" s="19" t="s">
        <v>959</v>
      </c>
      <c r="C165" s="19" t="s">
        <v>980</v>
      </c>
      <c r="D165" s="18" t="s">
        <v>77</v>
      </c>
      <c r="E165" s="108"/>
      <c r="F165" s="18">
        <v>63333</v>
      </c>
      <c r="G165" s="19" t="s">
        <v>1126</v>
      </c>
      <c r="H165" s="18">
        <v>20</v>
      </c>
      <c r="I165" s="18" t="s">
        <v>48</v>
      </c>
      <c r="J165" s="44"/>
      <c r="K165" s="56"/>
    </row>
    <row r="166" spans="1:11" ht="15.75" customHeight="1" x14ac:dyDescent="0.2">
      <c r="A166" s="18" t="s">
        <v>44</v>
      </c>
      <c r="B166" s="19" t="s">
        <v>959</v>
      </c>
      <c r="C166" s="19" t="s">
        <v>980</v>
      </c>
      <c r="D166" s="18" t="s">
        <v>77</v>
      </c>
      <c r="E166" s="108"/>
      <c r="F166" s="18">
        <v>63334</v>
      </c>
      <c r="G166" s="19" t="s">
        <v>1127</v>
      </c>
      <c r="H166" s="18">
        <v>15</v>
      </c>
      <c r="I166" s="18" t="s">
        <v>48</v>
      </c>
      <c r="J166" s="44"/>
      <c r="K166" s="56"/>
    </row>
    <row r="167" spans="1:11" ht="15.75" customHeight="1" x14ac:dyDescent="0.2">
      <c r="A167" s="18" t="s">
        <v>44</v>
      </c>
      <c r="B167" s="19" t="s">
        <v>959</v>
      </c>
      <c r="C167" s="19" t="s">
        <v>980</v>
      </c>
      <c r="D167" s="18" t="s">
        <v>77</v>
      </c>
      <c r="E167" s="108"/>
      <c r="F167" s="18">
        <v>63335</v>
      </c>
      <c r="G167" s="19" t="s">
        <v>1128</v>
      </c>
      <c r="H167" s="18">
        <v>10</v>
      </c>
      <c r="I167" s="18" t="s">
        <v>48</v>
      </c>
      <c r="J167" s="44"/>
      <c r="K167" s="56"/>
    </row>
    <row r="168" spans="1:11" ht="15.75" customHeight="1" x14ac:dyDescent="0.2">
      <c r="A168" s="18" t="s">
        <v>44</v>
      </c>
      <c r="B168" s="19" t="s">
        <v>959</v>
      </c>
      <c r="C168" s="19" t="s">
        <v>980</v>
      </c>
      <c r="D168" s="18" t="s">
        <v>77</v>
      </c>
      <c r="E168" s="108"/>
      <c r="F168" s="18">
        <v>63336</v>
      </c>
      <c r="G168" s="19" t="s">
        <v>1129</v>
      </c>
      <c r="H168" s="18">
        <v>10</v>
      </c>
      <c r="I168" s="18" t="s">
        <v>48</v>
      </c>
      <c r="J168" s="44"/>
      <c r="K168" s="56"/>
    </row>
    <row r="169" spans="1:11" ht="15.75" customHeight="1" x14ac:dyDescent="0.2">
      <c r="A169" s="18" t="s">
        <v>44</v>
      </c>
      <c r="B169" s="19" t="s">
        <v>959</v>
      </c>
      <c r="C169" s="19" t="s">
        <v>980</v>
      </c>
      <c r="D169" s="18" t="s">
        <v>77</v>
      </c>
      <c r="E169" s="108"/>
      <c r="F169" s="18">
        <v>63337</v>
      </c>
      <c r="G169" s="19" t="s">
        <v>1130</v>
      </c>
      <c r="H169" s="18">
        <v>10</v>
      </c>
      <c r="I169" s="18" t="s">
        <v>48</v>
      </c>
      <c r="J169" s="44"/>
      <c r="K169" s="56"/>
    </row>
    <row r="170" spans="1:11" ht="15.75" customHeight="1" x14ac:dyDescent="0.2">
      <c r="A170" s="18" t="s">
        <v>44</v>
      </c>
      <c r="B170" s="19" t="s">
        <v>959</v>
      </c>
      <c r="C170" s="19" t="s">
        <v>980</v>
      </c>
      <c r="D170" s="18" t="s">
        <v>77</v>
      </c>
      <c r="E170" s="108"/>
      <c r="F170" s="18">
        <v>63338</v>
      </c>
      <c r="G170" s="19" t="s">
        <v>1131</v>
      </c>
      <c r="H170" s="18">
        <v>10</v>
      </c>
      <c r="I170" s="18" t="s">
        <v>48</v>
      </c>
      <c r="J170" s="44"/>
      <c r="K170" s="56"/>
    </row>
    <row r="171" spans="1:11" ht="15.75" customHeight="1" x14ac:dyDescent="0.2">
      <c r="A171" s="18" t="s">
        <v>44</v>
      </c>
      <c r="B171" s="19" t="s">
        <v>959</v>
      </c>
      <c r="C171" s="19" t="s">
        <v>980</v>
      </c>
      <c r="D171" s="18" t="s">
        <v>77</v>
      </c>
      <c r="E171" s="108"/>
      <c r="F171" s="18">
        <v>63339</v>
      </c>
      <c r="G171" s="19" t="s">
        <v>1132</v>
      </c>
      <c r="H171" s="18">
        <v>5</v>
      </c>
      <c r="I171" s="18" t="s">
        <v>48</v>
      </c>
      <c r="J171" s="44"/>
      <c r="K171" s="56"/>
    </row>
    <row r="172" spans="1:11" ht="15.75" customHeight="1" x14ac:dyDescent="0.2">
      <c r="A172" s="18" t="s">
        <v>44</v>
      </c>
      <c r="B172" s="19" t="s">
        <v>959</v>
      </c>
      <c r="C172" s="19" t="s">
        <v>980</v>
      </c>
      <c r="D172" s="18" t="s">
        <v>77</v>
      </c>
      <c r="E172" s="108"/>
      <c r="F172" s="18">
        <v>63340</v>
      </c>
      <c r="G172" s="19" t="s">
        <v>1133</v>
      </c>
      <c r="H172" s="18">
        <v>5</v>
      </c>
      <c r="I172" s="18" t="s">
        <v>48</v>
      </c>
      <c r="J172" s="44"/>
      <c r="K172" s="56"/>
    </row>
    <row r="173" spans="1:11" ht="15.75" customHeight="1" x14ac:dyDescent="0.2">
      <c r="A173" s="18" t="s">
        <v>44</v>
      </c>
      <c r="B173" s="19" t="s">
        <v>959</v>
      </c>
      <c r="C173" s="19" t="s">
        <v>980</v>
      </c>
      <c r="D173" s="18" t="s">
        <v>77</v>
      </c>
      <c r="E173" s="108"/>
      <c r="F173" s="18">
        <v>63341</v>
      </c>
      <c r="G173" s="19" t="s">
        <v>1134</v>
      </c>
      <c r="H173" s="18">
        <v>5</v>
      </c>
      <c r="I173" s="18" t="s">
        <v>48</v>
      </c>
      <c r="J173" s="44"/>
      <c r="K173" s="56"/>
    </row>
    <row r="174" spans="1:11" ht="15.75" customHeight="1" x14ac:dyDescent="0.2">
      <c r="A174" s="18" t="s">
        <v>44</v>
      </c>
      <c r="B174" s="19" t="s">
        <v>959</v>
      </c>
      <c r="C174" s="19" t="s">
        <v>980</v>
      </c>
      <c r="D174" s="18" t="s">
        <v>77</v>
      </c>
      <c r="E174" s="108"/>
      <c r="F174" s="18">
        <v>63342</v>
      </c>
      <c r="G174" s="19" t="s">
        <v>1135</v>
      </c>
      <c r="H174" s="18">
        <v>1</v>
      </c>
      <c r="I174" s="18" t="s">
        <v>48</v>
      </c>
      <c r="J174" s="44"/>
      <c r="K174" s="56"/>
    </row>
    <row r="175" spans="1:11" ht="15.75" customHeight="1" x14ac:dyDescent="0.2">
      <c r="A175" s="18" t="s">
        <v>44</v>
      </c>
      <c r="B175" s="19" t="s">
        <v>959</v>
      </c>
      <c r="C175" s="19" t="s">
        <v>980</v>
      </c>
      <c r="D175" s="18" t="s">
        <v>77</v>
      </c>
      <c r="E175" s="108"/>
      <c r="F175" s="18">
        <v>63343</v>
      </c>
      <c r="G175" s="19" t="s">
        <v>1136</v>
      </c>
      <c r="H175" s="18">
        <v>1</v>
      </c>
      <c r="I175" s="18" t="s">
        <v>48</v>
      </c>
      <c r="J175" s="44"/>
      <c r="K175" s="56"/>
    </row>
    <row r="176" spans="1:11" ht="15.75" customHeight="1" x14ac:dyDescent="0.2">
      <c r="A176" s="18" t="s">
        <v>44</v>
      </c>
      <c r="B176" s="19" t="s">
        <v>959</v>
      </c>
      <c r="C176" s="19" t="s">
        <v>980</v>
      </c>
      <c r="D176" s="18" t="s">
        <v>77</v>
      </c>
      <c r="E176" s="108"/>
      <c r="F176" s="18">
        <v>63344</v>
      </c>
      <c r="G176" s="19" t="s">
        <v>1137</v>
      </c>
      <c r="H176" s="18">
        <v>1</v>
      </c>
      <c r="I176" s="18" t="s">
        <v>48</v>
      </c>
      <c r="J176" s="44"/>
      <c r="K176" s="56"/>
    </row>
    <row r="177" spans="1:11" ht="15.75" customHeight="1" x14ac:dyDescent="0.2">
      <c r="A177" s="18" t="s">
        <v>44</v>
      </c>
      <c r="B177" s="19" t="s">
        <v>959</v>
      </c>
      <c r="C177" s="19" t="s">
        <v>980</v>
      </c>
      <c r="D177" s="18" t="s">
        <v>77</v>
      </c>
      <c r="E177" s="108"/>
      <c r="F177" s="18">
        <v>63345</v>
      </c>
      <c r="G177" s="19" t="s">
        <v>1138</v>
      </c>
      <c r="H177" s="18">
        <v>1</v>
      </c>
      <c r="I177" s="18" t="s">
        <v>48</v>
      </c>
      <c r="J177" s="44"/>
      <c r="K177" s="56"/>
    </row>
    <row r="178" spans="1:11" ht="15.75" customHeight="1" x14ac:dyDescent="0.2">
      <c r="A178" s="18" t="s">
        <v>44</v>
      </c>
      <c r="B178" s="19" t="s">
        <v>959</v>
      </c>
      <c r="C178" s="19" t="s">
        <v>980</v>
      </c>
      <c r="D178" s="18" t="s">
        <v>77</v>
      </c>
      <c r="E178" s="108"/>
      <c r="F178" s="18">
        <v>63346</v>
      </c>
      <c r="G178" s="19" t="s">
        <v>1139</v>
      </c>
      <c r="H178" s="18">
        <v>1</v>
      </c>
      <c r="I178" s="18" t="s">
        <v>48</v>
      </c>
      <c r="J178" s="44"/>
      <c r="K178" s="56"/>
    </row>
    <row r="179" spans="1:11" ht="15.75" customHeight="1" x14ac:dyDescent="0.2">
      <c r="A179" s="18" t="s">
        <v>44</v>
      </c>
      <c r="B179" s="19" t="s">
        <v>959</v>
      </c>
      <c r="C179" s="19" t="s">
        <v>980</v>
      </c>
      <c r="D179" s="18" t="s">
        <v>77</v>
      </c>
      <c r="E179" s="108"/>
      <c r="F179" s="18">
        <v>63347</v>
      </c>
      <c r="G179" s="19" t="s">
        <v>1140</v>
      </c>
      <c r="H179" s="18">
        <v>1</v>
      </c>
      <c r="I179" s="18" t="s">
        <v>48</v>
      </c>
      <c r="J179" s="44"/>
      <c r="K179" s="56"/>
    </row>
    <row r="180" spans="1:11" ht="15.75" customHeight="1" x14ac:dyDescent="0.2">
      <c r="A180" s="18" t="s">
        <v>44</v>
      </c>
      <c r="B180" s="19" t="s">
        <v>959</v>
      </c>
      <c r="C180" s="19" t="s">
        <v>980</v>
      </c>
      <c r="D180" s="18" t="s">
        <v>77</v>
      </c>
      <c r="E180" s="108"/>
      <c r="F180" s="18">
        <v>63348</v>
      </c>
      <c r="G180" s="19" t="s">
        <v>1141</v>
      </c>
      <c r="H180" s="18">
        <v>1</v>
      </c>
      <c r="I180" s="18" t="s">
        <v>48</v>
      </c>
      <c r="J180" s="44"/>
      <c r="K180" s="56"/>
    </row>
    <row r="181" spans="1:11" ht="15.75" customHeight="1" x14ac:dyDescent="0.2">
      <c r="A181" s="18" t="s">
        <v>44</v>
      </c>
      <c r="B181" s="19" t="s">
        <v>959</v>
      </c>
      <c r="C181" s="19" t="s">
        <v>980</v>
      </c>
      <c r="D181" s="18" t="s">
        <v>77</v>
      </c>
      <c r="E181" s="107" t="e" vm="201">
        <v>#VALUE!</v>
      </c>
      <c r="F181" s="18">
        <v>63430</v>
      </c>
      <c r="G181" s="19" t="s">
        <v>1142</v>
      </c>
      <c r="H181" s="18">
        <v>20</v>
      </c>
      <c r="I181" s="18" t="s">
        <v>48</v>
      </c>
      <c r="J181" s="44"/>
      <c r="K181" s="56"/>
    </row>
    <row r="182" spans="1:11" ht="15.75" customHeight="1" x14ac:dyDescent="0.2">
      <c r="A182" s="18" t="s">
        <v>44</v>
      </c>
      <c r="B182" s="19" t="s">
        <v>959</v>
      </c>
      <c r="C182" s="19" t="s">
        <v>980</v>
      </c>
      <c r="D182" s="18" t="s">
        <v>77</v>
      </c>
      <c r="E182" s="108"/>
      <c r="F182" s="18">
        <v>63431</v>
      </c>
      <c r="G182" s="19" t="s">
        <v>1143</v>
      </c>
      <c r="H182" s="18">
        <v>15</v>
      </c>
      <c r="I182" s="18" t="s">
        <v>48</v>
      </c>
      <c r="J182" s="44"/>
      <c r="K182" s="56"/>
    </row>
    <row r="183" spans="1:11" ht="15.75" customHeight="1" x14ac:dyDescent="0.2">
      <c r="A183" s="18" t="s">
        <v>44</v>
      </c>
      <c r="B183" s="19" t="s">
        <v>959</v>
      </c>
      <c r="C183" s="19" t="s">
        <v>980</v>
      </c>
      <c r="D183" s="18" t="s">
        <v>77</v>
      </c>
      <c r="E183" s="108"/>
      <c r="F183" s="18">
        <v>63432</v>
      </c>
      <c r="G183" s="19" t="s">
        <v>1144</v>
      </c>
      <c r="H183" s="18">
        <v>10</v>
      </c>
      <c r="I183" s="18" t="s">
        <v>48</v>
      </c>
      <c r="J183" s="44"/>
      <c r="K183" s="56"/>
    </row>
    <row r="184" spans="1:11" ht="15.75" customHeight="1" x14ac:dyDescent="0.2">
      <c r="A184" s="18" t="s">
        <v>44</v>
      </c>
      <c r="B184" s="19" t="s">
        <v>959</v>
      </c>
      <c r="C184" s="19" t="s">
        <v>980</v>
      </c>
      <c r="D184" s="18" t="s">
        <v>77</v>
      </c>
      <c r="E184" s="108"/>
      <c r="F184" s="18">
        <v>63433</v>
      </c>
      <c r="G184" s="19" t="s">
        <v>1145</v>
      </c>
      <c r="H184" s="18">
        <v>10</v>
      </c>
      <c r="I184" s="18" t="s">
        <v>48</v>
      </c>
      <c r="J184" s="44"/>
      <c r="K184" s="56"/>
    </row>
    <row r="185" spans="1:11" ht="15.75" customHeight="1" x14ac:dyDescent="0.2">
      <c r="A185" s="18" t="s">
        <v>44</v>
      </c>
      <c r="B185" s="19" t="s">
        <v>959</v>
      </c>
      <c r="C185" s="19" t="s">
        <v>980</v>
      </c>
      <c r="D185" s="18" t="s">
        <v>77</v>
      </c>
      <c r="E185" s="108"/>
      <c r="F185" s="18">
        <v>63434</v>
      </c>
      <c r="G185" s="19" t="s">
        <v>1146</v>
      </c>
      <c r="H185" s="18">
        <v>4</v>
      </c>
      <c r="I185" s="18" t="s">
        <v>48</v>
      </c>
      <c r="J185" s="44"/>
      <c r="K185" s="56"/>
    </row>
    <row r="186" spans="1:11" ht="15.75" customHeight="1" x14ac:dyDescent="0.2">
      <c r="A186" s="18" t="s">
        <v>44</v>
      </c>
      <c r="B186" s="19" t="s">
        <v>959</v>
      </c>
      <c r="C186" s="19" t="s">
        <v>980</v>
      </c>
      <c r="D186" s="18" t="s">
        <v>77</v>
      </c>
      <c r="E186" s="108"/>
      <c r="F186" s="18">
        <v>63435</v>
      </c>
      <c r="G186" s="19" t="s">
        <v>1147</v>
      </c>
      <c r="H186" s="18">
        <v>3</v>
      </c>
      <c r="I186" s="18" t="s">
        <v>48</v>
      </c>
      <c r="J186" s="44"/>
      <c r="K186" s="56"/>
    </row>
    <row r="187" spans="1:11" ht="15.75" customHeight="1" x14ac:dyDescent="0.2">
      <c r="A187" s="18" t="s">
        <v>44</v>
      </c>
      <c r="B187" s="19" t="s">
        <v>959</v>
      </c>
      <c r="C187" s="19" t="s">
        <v>980</v>
      </c>
      <c r="D187" s="18" t="s">
        <v>77</v>
      </c>
      <c r="E187" s="108"/>
      <c r="F187" s="18">
        <v>63436</v>
      </c>
      <c r="G187" s="19" t="s">
        <v>1148</v>
      </c>
      <c r="H187" s="18">
        <v>1</v>
      </c>
      <c r="I187" s="18" t="s">
        <v>48</v>
      </c>
      <c r="J187" s="44"/>
      <c r="K187" s="56"/>
    </row>
    <row r="188" spans="1:11" ht="15.75" customHeight="1" x14ac:dyDescent="0.2">
      <c r="A188" s="18" t="s">
        <v>44</v>
      </c>
      <c r="B188" s="19" t="s">
        <v>959</v>
      </c>
      <c r="C188" s="19" t="s">
        <v>1149</v>
      </c>
      <c r="D188" s="18" t="s">
        <v>77</v>
      </c>
      <c r="E188" s="107" t="e" vm="202">
        <v>#VALUE!</v>
      </c>
      <c r="F188" s="18">
        <v>63450</v>
      </c>
      <c r="G188" s="19" t="s">
        <v>1150</v>
      </c>
      <c r="H188" s="18">
        <v>2</v>
      </c>
      <c r="I188" s="18" t="s">
        <v>48</v>
      </c>
      <c r="J188" s="44"/>
      <c r="K188" s="56"/>
    </row>
    <row r="189" spans="1:11" ht="15.75" customHeight="1" x14ac:dyDescent="0.2">
      <c r="A189" s="18" t="s">
        <v>44</v>
      </c>
      <c r="B189" s="19" t="s">
        <v>959</v>
      </c>
      <c r="C189" s="19" t="s">
        <v>1149</v>
      </c>
      <c r="D189" s="18" t="s">
        <v>77</v>
      </c>
      <c r="E189" s="108"/>
      <c r="F189" s="18">
        <v>63451</v>
      </c>
      <c r="G189" s="19" t="s">
        <v>1151</v>
      </c>
      <c r="H189" s="18">
        <v>1</v>
      </c>
      <c r="I189" s="18" t="s">
        <v>48</v>
      </c>
      <c r="J189" s="44"/>
      <c r="K189" s="56"/>
    </row>
    <row r="190" spans="1:11" ht="15.75" customHeight="1" x14ac:dyDescent="0.2">
      <c r="A190" s="18" t="s">
        <v>44</v>
      </c>
      <c r="B190" s="19" t="s">
        <v>959</v>
      </c>
      <c r="C190" s="19" t="s">
        <v>1149</v>
      </c>
      <c r="D190" s="18" t="s">
        <v>77</v>
      </c>
      <c r="E190" s="108"/>
      <c r="F190" s="18">
        <v>63452</v>
      </c>
      <c r="G190" s="19" t="s">
        <v>1152</v>
      </c>
      <c r="H190" s="18">
        <v>1</v>
      </c>
      <c r="I190" s="18" t="s">
        <v>48</v>
      </c>
      <c r="J190" s="44"/>
      <c r="K190" s="56"/>
    </row>
    <row r="191" spans="1:11" ht="15.75" customHeight="1" x14ac:dyDescent="0.2">
      <c r="A191" s="18" t="s">
        <v>44</v>
      </c>
      <c r="B191" s="19" t="s">
        <v>959</v>
      </c>
      <c r="C191" s="19" t="s">
        <v>1149</v>
      </c>
      <c r="D191" s="18" t="s">
        <v>77</v>
      </c>
      <c r="E191" s="108"/>
      <c r="F191" s="18">
        <v>63453</v>
      </c>
      <c r="G191" s="19" t="s">
        <v>1153</v>
      </c>
      <c r="H191" s="18">
        <v>1</v>
      </c>
      <c r="I191" s="18" t="s">
        <v>48</v>
      </c>
      <c r="J191" s="44"/>
      <c r="K191" s="56"/>
    </row>
    <row r="192" spans="1:11" ht="15.75" customHeight="1" x14ac:dyDescent="0.2">
      <c r="A192" s="18" t="s">
        <v>44</v>
      </c>
      <c r="B192" s="19" t="s">
        <v>959</v>
      </c>
      <c r="C192" s="19" t="s">
        <v>1149</v>
      </c>
      <c r="D192" s="18" t="s">
        <v>77</v>
      </c>
      <c r="E192" s="108"/>
      <c r="F192" s="18">
        <v>63454</v>
      </c>
      <c r="G192" s="19" t="s">
        <v>1154</v>
      </c>
      <c r="H192" s="18">
        <v>1</v>
      </c>
      <c r="I192" s="18" t="s">
        <v>48</v>
      </c>
      <c r="J192" s="44"/>
      <c r="K192" s="56"/>
    </row>
    <row r="193" spans="1:11" ht="15.75" customHeight="1" x14ac:dyDescent="0.2">
      <c r="A193" s="18" t="s">
        <v>44</v>
      </c>
      <c r="B193" s="19" t="s">
        <v>959</v>
      </c>
      <c r="C193" s="19" t="s">
        <v>1149</v>
      </c>
      <c r="D193" s="21" t="s">
        <v>77</v>
      </c>
      <c r="E193" s="111" t="e" vm="203">
        <v>#VALUE!</v>
      </c>
      <c r="F193" s="23">
        <v>351941</v>
      </c>
      <c r="G193" s="19" t="s">
        <v>1155</v>
      </c>
      <c r="H193" s="18">
        <v>1</v>
      </c>
      <c r="I193" s="18" t="s">
        <v>146</v>
      </c>
      <c r="J193" s="44"/>
      <c r="K193" s="56"/>
    </row>
    <row r="194" spans="1:11" ht="15.75" customHeight="1" x14ac:dyDescent="0.2">
      <c r="A194" s="18" t="s">
        <v>44</v>
      </c>
      <c r="B194" s="19" t="s">
        <v>959</v>
      </c>
      <c r="C194" s="19" t="s">
        <v>1149</v>
      </c>
      <c r="D194" s="21" t="s">
        <v>77</v>
      </c>
      <c r="E194" s="111"/>
      <c r="F194" s="23">
        <v>351942</v>
      </c>
      <c r="G194" s="19" t="s">
        <v>1156</v>
      </c>
      <c r="H194" s="18">
        <v>1</v>
      </c>
      <c r="I194" s="18" t="s">
        <v>146</v>
      </c>
      <c r="J194" s="44"/>
      <c r="K194" s="56"/>
    </row>
    <row r="195" spans="1:11" ht="15.75" customHeight="1" x14ac:dyDescent="0.2">
      <c r="A195" s="18" t="s">
        <v>44</v>
      </c>
      <c r="B195" s="19" t="s">
        <v>959</v>
      </c>
      <c r="C195" s="19" t="s">
        <v>1149</v>
      </c>
      <c r="D195" s="21" t="s">
        <v>77</v>
      </c>
      <c r="E195" s="111"/>
      <c r="F195" s="23">
        <v>351943</v>
      </c>
      <c r="G195" s="19" t="s">
        <v>1157</v>
      </c>
      <c r="H195" s="18">
        <v>1</v>
      </c>
      <c r="I195" s="18" t="s">
        <v>146</v>
      </c>
      <c r="J195" s="44"/>
      <c r="K195" s="56"/>
    </row>
    <row r="196" spans="1:11" ht="15.75" customHeight="1" x14ac:dyDescent="0.2">
      <c r="A196" s="18" t="s">
        <v>44</v>
      </c>
      <c r="B196" s="19" t="s">
        <v>959</v>
      </c>
      <c r="C196" s="19" t="s">
        <v>1149</v>
      </c>
      <c r="D196" s="21" t="s">
        <v>77</v>
      </c>
      <c r="E196" s="111"/>
      <c r="F196" s="23">
        <v>351944</v>
      </c>
      <c r="G196" s="19" t="s">
        <v>1158</v>
      </c>
      <c r="H196" s="18">
        <v>1</v>
      </c>
      <c r="I196" s="18" t="s">
        <v>146</v>
      </c>
      <c r="J196" s="44"/>
      <c r="K196" s="56"/>
    </row>
    <row r="197" spans="1:11" ht="21.75" customHeight="1" x14ac:dyDescent="0.2">
      <c r="A197" s="18" t="s">
        <v>44</v>
      </c>
      <c r="B197" s="19" t="s">
        <v>959</v>
      </c>
      <c r="C197" s="19" t="s">
        <v>1149</v>
      </c>
      <c r="D197" s="18" t="s">
        <v>77</v>
      </c>
      <c r="E197" s="107" t="e" vm="204">
        <v>#VALUE!</v>
      </c>
      <c r="F197" s="18">
        <v>63201</v>
      </c>
      <c r="G197" s="19" t="s">
        <v>1159</v>
      </c>
      <c r="H197" s="18">
        <v>1</v>
      </c>
      <c r="I197" s="18" t="s">
        <v>48</v>
      </c>
      <c r="J197" s="44"/>
      <c r="K197" s="56"/>
    </row>
    <row r="198" spans="1:11" ht="21.75" customHeight="1" x14ac:dyDescent="0.2">
      <c r="A198" s="18" t="s">
        <v>44</v>
      </c>
      <c r="B198" s="19" t="s">
        <v>959</v>
      </c>
      <c r="C198" s="19" t="s">
        <v>1149</v>
      </c>
      <c r="D198" s="18" t="s">
        <v>77</v>
      </c>
      <c r="E198" s="108"/>
      <c r="F198" s="18">
        <v>63202</v>
      </c>
      <c r="G198" s="19" t="s">
        <v>1160</v>
      </c>
      <c r="H198" s="18">
        <v>1</v>
      </c>
      <c r="I198" s="18" t="s">
        <v>48</v>
      </c>
      <c r="J198" s="44"/>
      <c r="K198" s="56"/>
    </row>
    <row r="199" spans="1:11" ht="15.75" customHeight="1" x14ac:dyDescent="0.2">
      <c r="A199" s="18" t="s">
        <v>44</v>
      </c>
      <c r="B199" s="19" t="s">
        <v>959</v>
      </c>
      <c r="C199" s="19" t="s">
        <v>1149</v>
      </c>
      <c r="D199" s="18" t="s">
        <v>77</v>
      </c>
      <c r="E199" s="107" t="e" vm="205">
        <v>#VALUE!</v>
      </c>
      <c r="F199" s="18">
        <v>63101</v>
      </c>
      <c r="G199" s="19" t="s">
        <v>1161</v>
      </c>
      <c r="H199" s="18">
        <v>1</v>
      </c>
      <c r="I199" s="18" t="s">
        <v>48</v>
      </c>
      <c r="J199" s="44"/>
      <c r="K199" s="56"/>
    </row>
    <row r="200" spans="1:11" ht="15.75" customHeight="1" x14ac:dyDescent="0.2">
      <c r="A200" s="18" t="s">
        <v>44</v>
      </c>
      <c r="B200" s="19" t="s">
        <v>959</v>
      </c>
      <c r="C200" s="19" t="s">
        <v>1149</v>
      </c>
      <c r="D200" s="18" t="s">
        <v>77</v>
      </c>
      <c r="E200" s="108"/>
      <c r="F200" s="18">
        <v>63102</v>
      </c>
      <c r="G200" s="19" t="s">
        <v>1162</v>
      </c>
      <c r="H200" s="18">
        <v>1</v>
      </c>
      <c r="I200" s="18" t="s">
        <v>48</v>
      </c>
      <c r="J200" s="44"/>
      <c r="K200" s="56"/>
    </row>
    <row r="201" spans="1:11" ht="15.75" customHeight="1" x14ac:dyDescent="0.2">
      <c r="A201" s="18" t="s">
        <v>44</v>
      </c>
      <c r="B201" s="19" t="s">
        <v>959</v>
      </c>
      <c r="C201" s="19" t="s">
        <v>1149</v>
      </c>
      <c r="D201" s="18" t="s">
        <v>77</v>
      </c>
      <c r="E201" s="108"/>
      <c r="F201" s="18">
        <v>63103</v>
      </c>
      <c r="G201" s="19" t="s">
        <v>1163</v>
      </c>
      <c r="H201" s="18">
        <v>1</v>
      </c>
      <c r="I201" s="18" t="s">
        <v>48</v>
      </c>
      <c r="J201" s="44"/>
      <c r="K201" s="56"/>
    </row>
    <row r="202" spans="1:11" ht="15.75" customHeight="1" x14ac:dyDescent="0.2">
      <c r="A202" s="18" t="s">
        <v>44</v>
      </c>
      <c r="B202" s="19" t="s">
        <v>959</v>
      </c>
      <c r="C202" s="19" t="s">
        <v>1149</v>
      </c>
      <c r="D202" s="18" t="s">
        <v>77</v>
      </c>
      <c r="E202" s="108"/>
      <c r="F202" s="18">
        <v>63104</v>
      </c>
      <c r="G202" s="19" t="s">
        <v>1164</v>
      </c>
      <c r="H202" s="18">
        <v>1</v>
      </c>
      <c r="I202" s="18" t="s">
        <v>48</v>
      </c>
      <c r="J202" s="44"/>
      <c r="K202" s="56"/>
    </row>
    <row r="203" spans="1:11" ht="15.75" customHeight="1" x14ac:dyDescent="0.2">
      <c r="A203" s="40"/>
      <c r="B203" s="41"/>
      <c r="C203" s="41"/>
      <c r="D203" s="42"/>
      <c r="E203" s="80"/>
      <c r="F203" s="42"/>
      <c r="G203" s="42"/>
      <c r="H203" s="41"/>
      <c r="I203" s="42"/>
      <c r="J203" s="40"/>
    </row>
  </sheetData>
  <mergeCells count="20">
    <mergeCell ref="E199:E202"/>
    <mergeCell ref="E144:E160"/>
    <mergeCell ref="E3:E6"/>
    <mergeCell ref="E181:E187"/>
    <mergeCell ref="E197:E198"/>
    <mergeCell ref="E26:E38"/>
    <mergeCell ref="E188:E192"/>
    <mergeCell ref="E7:E8"/>
    <mergeCell ref="E85:E90"/>
    <mergeCell ref="E193:E196"/>
    <mergeCell ref="E20:E25"/>
    <mergeCell ref="E103:E117"/>
    <mergeCell ref="E138:E143"/>
    <mergeCell ref="E58:E78"/>
    <mergeCell ref="B1:I1"/>
    <mergeCell ref="E161:E180"/>
    <mergeCell ref="E118:E137"/>
    <mergeCell ref="E91:E102"/>
    <mergeCell ref="E79:E84"/>
    <mergeCell ref="E39:E57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K3:K202" xr:uid="{00000000-0002-0000-0E00-000000000000}">
      <formula1>0</formula1>
    </dataValidation>
  </dataValidations>
  <hyperlinks>
    <hyperlink ref="A1" location="'Menú por Categoría'!C14" display="Volver al menú principal" xr:uid="{00000000-0004-0000-0E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F0"/>
  </sheetPr>
  <dimension ref="A1:K159"/>
  <sheetViews>
    <sheetView showGridLines="0" zoomScale="70" zoomScaleNormal="70" workbookViewId="0">
      <pane ySplit="2" topLeftCell="A3" activePane="bottomLeft" state="frozen"/>
      <selection pane="bottomLeft" activeCell="G17" sqref="G17"/>
    </sheetView>
  </sheetViews>
  <sheetFormatPr baseColWidth="10" defaultColWidth="16" defaultRowHeight="15.75" customHeight="1" x14ac:dyDescent="0.2"/>
  <cols>
    <col min="1" max="1" width="22.5" style="10" customWidth="1"/>
    <col min="2" max="2" width="30.66406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0.1640625" style="10" customWidth="1"/>
    <col min="11" max="11" width="16" style="10" customWidth="1"/>
    <col min="12" max="16384" width="16" style="10"/>
  </cols>
  <sheetData>
    <row r="1" spans="1:11" ht="68.25" customHeight="1" x14ac:dyDescent="0.2">
      <c r="A1" s="13" t="s">
        <v>36</v>
      </c>
      <c r="B1" s="126" t="s">
        <v>1428</v>
      </c>
      <c r="C1" s="119"/>
      <c r="D1" s="119"/>
      <c r="E1" s="119"/>
      <c r="F1" s="119"/>
      <c r="G1" s="119"/>
      <c r="H1" s="119"/>
      <c r="I1" s="119"/>
      <c r="J1" s="44"/>
    </row>
    <row r="2" spans="1:11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44"/>
      <c r="K2" s="55" t="s">
        <v>1429</v>
      </c>
    </row>
    <row r="3" spans="1:11" ht="15.75" customHeight="1" x14ac:dyDescent="0.2">
      <c r="A3" s="18" t="s">
        <v>44</v>
      </c>
      <c r="B3" s="19" t="s">
        <v>1165</v>
      </c>
      <c r="C3" s="19" t="s">
        <v>1166</v>
      </c>
      <c r="D3" s="18" t="s">
        <v>1167</v>
      </c>
      <c r="E3" s="114" t="e" vm="206">
        <v>#VALUE!</v>
      </c>
      <c r="F3" s="18">
        <v>90034</v>
      </c>
      <c r="G3" s="19" t="s">
        <v>1168</v>
      </c>
      <c r="H3" s="18">
        <v>1</v>
      </c>
      <c r="I3" s="18" t="s">
        <v>146</v>
      </c>
      <c r="J3" s="44"/>
      <c r="K3" s="56"/>
    </row>
    <row r="4" spans="1:11" ht="15.75" customHeight="1" x14ac:dyDescent="0.2">
      <c r="A4" s="18" t="s">
        <v>44</v>
      </c>
      <c r="B4" s="19" t="s">
        <v>1165</v>
      </c>
      <c r="C4" s="19" t="s">
        <v>1166</v>
      </c>
      <c r="D4" s="18" t="s">
        <v>1169</v>
      </c>
      <c r="E4" s="114"/>
      <c r="F4" s="18">
        <v>90035</v>
      </c>
      <c r="G4" s="19" t="s">
        <v>1170</v>
      </c>
      <c r="H4" s="18">
        <v>1</v>
      </c>
      <c r="I4" s="18" t="s">
        <v>146</v>
      </c>
      <c r="J4" s="44"/>
      <c r="K4" s="56"/>
    </row>
    <row r="5" spans="1:11" ht="15.75" customHeight="1" x14ac:dyDescent="0.2">
      <c r="A5" s="18" t="s">
        <v>44</v>
      </c>
      <c r="B5" s="19" t="s">
        <v>1165</v>
      </c>
      <c r="C5" s="19" t="s">
        <v>1166</v>
      </c>
      <c r="D5" s="18" t="s">
        <v>1171</v>
      </c>
      <c r="E5" s="114"/>
      <c r="F5" s="18">
        <v>90036</v>
      </c>
      <c r="G5" s="19" t="s">
        <v>1172</v>
      </c>
      <c r="H5" s="18">
        <v>1</v>
      </c>
      <c r="I5" s="18" t="s">
        <v>146</v>
      </c>
      <c r="J5" s="44"/>
      <c r="K5" s="56"/>
    </row>
    <row r="6" spans="1:11" ht="15.75" customHeight="1" x14ac:dyDescent="0.2">
      <c r="A6" s="18" t="s">
        <v>44</v>
      </c>
      <c r="B6" s="19" t="s">
        <v>1165</v>
      </c>
      <c r="C6" s="19" t="s">
        <v>1166</v>
      </c>
      <c r="D6" s="18" t="s">
        <v>1173</v>
      </c>
      <c r="E6" s="114"/>
      <c r="F6" s="18">
        <v>90037</v>
      </c>
      <c r="G6" s="19" t="s">
        <v>1174</v>
      </c>
      <c r="H6" s="18">
        <v>1</v>
      </c>
      <c r="I6" s="18" t="s">
        <v>146</v>
      </c>
      <c r="J6" s="44"/>
      <c r="K6" s="56"/>
    </row>
    <row r="7" spans="1:11" ht="15.75" customHeight="1" x14ac:dyDescent="0.2">
      <c r="A7" s="18" t="s">
        <v>44</v>
      </c>
      <c r="B7" s="19" t="s">
        <v>1165</v>
      </c>
      <c r="C7" s="19" t="s">
        <v>1166</v>
      </c>
      <c r="D7" s="18" t="s">
        <v>1175</v>
      </c>
      <c r="E7" s="76" t="e" vm="207">
        <v>#VALUE!</v>
      </c>
      <c r="F7" s="18">
        <v>90038</v>
      </c>
      <c r="G7" s="19" t="s">
        <v>1176</v>
      </c>
      <c r="H7" s="18">
        <v>1</v>
      </c>
      <c r="I7" s="18" t="s">
        <v>146</v>
      </c>
      <c r="J7" s="44"/>
      <c r="K7" s="56"/>
    </row>
    <row r="8" spans="1:11" ht="19.5" customHeight="1" x14ac:dyDescent="0.2">
      <c r="A8" s="18" t="s">
        <v>44</v>
      </c>
      <c r="B8" s="19" t="s">
        <v>1165</v>
      </c>
      <c r="C8" s="19" t="s">
        <v>1177</v>
      </c>
      <c r="D8" s="18" t="s">
        <v>1178</v>
      </c>
      <c r="E8" s="76" t="e" vm="208">
        <v>#VALUE!</v>
      </c>
      <c r="F8" s="18">
        <v>90001</v>
      </c>
      <c r="G8" s="19" t="s">
        <v>1179</v>
      </c>
      <c r="H8" s="18">
        <v>1</v>
      </c>
      <c r="I8" s="18" t="s">
        <v>146</v>
      </c>
      <c r="J8" s="44"/>
      <c r="K8" s="56"/>
    </row>
    <row r="9" spans="1:11" ht="19.5" customHeight="1" x14ac:dyDescent="0.2">
      <c r="A9" s="18" t="s">
        <v>44</v>
      </c>
      <c r="B9" s="19" t="s">
        <v>1165</v>
      </c>
      <c r="C9" s="19" t="s">
        <v>1177</v>
      </c>
      <c r="D9" s="18" t="s">
        <v>1178</v>
      </c>
      <c r="E9" s="76" t="e" vm="209">
        <v>#VALUE!</v>
      </c>
      <c r="F9" s="18">
        <v>90002</v>
      </c>
      <c r="G9" s="19" t="s">
        <v>1180</v>
      </c>
      <c r="H9" s="18">
        <v>1</v>
      </c>
      <c r="I9" s="18" t="s">
        <v>146</v>
      </c>
      <c r="J9" s="44"/>
      <c r="K9" s="56"/>
    </row>
    <row r="10" spans="1:11" ht="15.75" customHeight="1" x14ac:dyDescent="0.2">
      <c r="A10" s="18" t="s">
        <v>44</v>
      </c>
      <c r="B10" s="19" t="s">
        <v>1165</v>
      </c>
      <c r="C10" s="19" t="s">
        <v>1177</v>
      </c>
      <c r="D10" s="18" t="s">
        <v>1167</v>
      </c>
      <c r="E10" s="114" t="e" vm="210">
        <v>#VALUE!</v>
      </c>
      <c r="F10" s="18">
        <v>90003</v>
      </c>
      <c r="G10" s="19" t="s">
        <v>1181</v>
      </c>
      <c r="H10" s="18">
        <v>1</v>
      </c>
      <c r="I10" s="18" t="s">
        <v>146</v>
      </c>
      <c r="J10" s="44"/>
      <c r="K10" s="56"/>
    </row>
    <row r="11" spans="1:11" ht="15.75" customHeight="1" x14ac:dyDescent="0.2">
      <c r="A11" s="18" t="s">
        <v>44</v>
      </c>
      <c r="B11" s="19" t="s">
        <v>1165</v>
      </c>
      <c r="C11" s="19" t="s">
        <v>1177</v>
      </c>
      <c r="D11" s="18" t="s">
        <v>1169</v>
      </c>
      <c r="E11" s="114"/>
      <c r="F11" s="18">
        <v>90004</v>
      </c>
      <c r="G11" s="19" t="s">
        <v>1182</v>
      </c>
      <c r="H11" s="18">
        <v>1</v>
      </c>
      <c r="I11" s="18" t="s">
        <v>146</v>
      </c>
      <c r="J11" s="44"/>
      <c r="K11" s="56"/>
    </row>
    <row r="12" spans="1:11" ht="15.75" customHeight="1" x14ac:dyDescent="0.2">
      <c r="A12" s="18" t="s">
        <v>44</v>
      </c>
      <c r="B12" s="19" t="s">
        <v>1165</v>
      </c>
      <c r="C12" s="19" t="s">
        <v>1177</v>
      </c>
      <c r="D12" s="18" t="s">
        <v>1171</v>
      </c>
      <c r="E12" s="114"/>
      <c r="F12" s="18">
        <v>90005</v>
      </c>
      <c r="G12" s="19" t="s">
        <v>1183</v>
      </c>
      <c r="H12" s="18">
        <v>1</v>
      </c>
      <c r="I12" s="18" t="s">
        <v>146</v>
      </c>
      <c r="J12" s="44"/>
      <c r="K12" s="56"/>
    </row>
    <row r="13" spans="1:11" ht="15.75" customHeight="1" x14ac:dyDescent="0.2">
      <c r="A13" s="18" t="s">
        <v>44</v>
      </c>
      <c r="B13" s="19" t="s">
        <v>1165</v>
      </c>
      <c r="C13" s="19" t="s">
        <v>1177</v>
      </c>
      <c r="D13" s="18" t="s">
        <v>1167</v>
      </c>
      <c r="E13" s="114" t="e" vm="211">
        <v>#VALUE!</v>
      </c>
      <c r="F13" s="18">
        <v>90006</v>
      </c>
      <c r="G13" s="19" t="s">
        <v>1184</v>
      </c>
      <c r="H13" s="18">
        <v>1</v>
      </c>
      <c r="I13" s="18" t="s">
        <v>146</v>
      </c>
      <c r="J13" s="44"/>
      <c r="K13" s="56"/>
    </row>
    <row r="14" spans="1:11" ht="15.75" customHeight="1" x14ac:dyDescent="0.2">
      <c r="A14" s="18" t="s">
        <v>44</v>
      </c>
      <c r="B14" s="19" t="s">
        <v>1165</v>
      </c>
      <c r="C14" s="19" t="s">
        <v>1177</v>
      </c>
      <c r="D14" s="18" t="s">
        <v>1169</v>
      </c>
      <c r="E14" s="114"/>
      <c r="F14" s="18">
        <v>90007</v>
      </c>
      <c r="G14" s="19" t="s">
        <v>1185</v>
      </c>
      <c r="H14" s="18">
        <v>1</v>
      </c>
      <c r="I14" s="18" t="s">
        <v>146</v>
      </c>
      <c r="J14" s="44"/>
      <c r="K14" s="56"/>
    </row>
    <row r="15" spans="1:11" ht="15.75" customHeight="1" x14ac:dyDescent="0.2">
      <c r="A15" s="18" t="s">
        <v>44</v>
      </c>
      <c r="B15" s="19" t="s">
        <v>1165</v>
      </c>
      <c r="C15" s="19" t="s">
        <v>1177</v>
      </c>
      <c r="D15" s="18" t="s">
        <v>1171</v>
      </c>
      <c r="E15" s="114"/>
      <c r="F15" s="18">
        <v>90008</v>
      </c>
      <c r="G15" s="19" t="s">
        <v>1186</v>
      </c>
      <c r="H15" s="18">
        <v>1</v>
      </c>
      <c r="I15" s="18" t="s">
        <v>146</v>
      </c>
      <c r="J15" s="44"/>
      <c r="K15" s="56"/>
    </row>
    <row r="16" spans="1:11" ht="24" customHeight="1" x14ac:dyDescent="0.2">
      <c r="A16" s="18" t="s">
        <v>44</v>
      </c>
      <c r="B16" s="19" t="s">
        <v>1165</v>
      </c>
      <c r="C16" s="19" t="s">
        <v>1177</v>
      </c>
      <c r="D16" s="18" t="s">
        <v>1178</v>
      </c>
      <c r="E16" s="76" t="e" vm="212">
        <v>#VALUE!</v>
      </c>
      <c r="F16" s="18">
        <v>90009</v>
      </c>
      <c r="G16" s="19" t="s">
        <v>1187</v>
      </c>
      <c r="H16" s="18">
        <v>1</v>
      </c>
      <c r="I16" s="18" t="s">
        <v>146</v>
      </c>
      <c r="J16" s="44"/>
      <c r="K16" s="56"/>
    </row>
    <row r="17" spans="1:11" ht="15.75" customHeight="1" x14ac:dyDescent="0.2">
      <c r="A17" s="18" t="s">
        <v>44</v>
      </c>
      <c r="B17" s="19" t="s">
        <v>1165</v>
      </c>
      <c r="C17" s="19" t="s">
        <v>1177</v>
      </c>
      <c r="D17" s="18" t="s">
        <v>1178</v>
      </c>
      <c r="E17" s="114" t="e" vm="213">
        <v>#VALUE!</v>
      </c>
      <c r="F17" s="18">
        <v>90010</v>
      </c>
      <c r="G17" s="19" t="s">
        <v>1188</v>
      </c>
      <c r="H17" s="18">
        <v>1</v>
      </c>
      <c r="I17" s="18" t="s">
        <v>146</v>
      </c>
      <c r="J17" s="44"/>
      <c r="K17" s="56"/>
    </row>
    <row r="18" spans="1:11" ht="15.75" customHeight="1" x14ac:dyDescent="0.2">
      <c r="A18" s="18" t="s">
        <v>44</v>
      </c>
      <c r="B18" s="19" t="s">
        <v>1165</v>
      </c>
      <c r="C18" s="19" t="s">
        <v>1177</v>
      </c>
      <c r="D18" s="18" t="s">
        <v>1178</v>
      </c>
      <c r="E18" s="114"/>
      <c r="F18" s="18">
        <v>90011</v>
      </c>
      <c r="G18" s="19" t="s">
        <v>1189</v>
      </c>
      <c r="H18" s="18">
        <v>1</v>
      </c>
      <c r="I18" s="18" t="s">
        <v>146</v>
      </c>
      <c r="J18" s="44"/>
      <c r="K18" s="56"/>
    </row>
    <row r="19" spans="1:11" ht="15.75" customHeight="1" x14ac:dyDescent="0.2">
      <c r="A19" s="18" t="s">
        <v>44</v>
      </c>
      <c r="B19" s="19" t="s">
        <v>1165</v>
      </c>
      <c r="C19" s="19" t="s">
        <v>1177</v>
      </c>
      <c r="D19" s="18" t="s">
        <v>1190</v>
      </c>
      <c r="E19" s="114"/>
      <c r="F19" s="18">
        <v>90012</v>
      </c>
      <c r="G19" s="19" t="s">
        <v>1191</v>
      </c>
      <c r="H19" s="18">
        <v>1</v>
      </c>
      <c r="I19" s="18" t="s">
        <v>146</v>
      </c>
      <c r="J19" s="44"/>
      <c r="K19" s="56"/>
    </row>
    <row r="20" spans="1:11" ht="15.75" customHeight="1" x14ac:dyDescent="0.2">
      <c r="A20" s="18" t="s">
        <v>44</v>
      </c>
      <c r="B20" s="19" t="s">
        <v>1165</v>
      </c>
      <c r="C20" s="19" t="s">
        <v>1177</v>
      </c>
      <c r="D20" s="18" t="s">
        <v>1192</v>
      </c>
      <c r="E20" s="114" t="e" vm="214">
        <v>#VALUE!</v>
      </c>
      <c r="F20" s="18">
        <v>90013</v>
      </c>
      <c r="G20" s="19" t="s">
        <v>1193</v>
      </c>
      <c r="H20" s="18">
        <v>1</v>
      </c>
      <c r="I20" s="18" t="s">
        <v>146</v>
      </c>
      <c r="J20" s="44"/>
      <c r="K20" s="56"/>
    </row>
    <row r="21" spans="1:11" ht="15.75" customHeight="1" x14ac:dyDescent="0.2">
      <c r="A21" s="18" t="s">
        <v>44</v>
      </c>
      <c r="B21" s="19" t="s">
        <v>1165</v>
      </c>
      <c r="C21" s="19" t="s">
        <v>1177</v>
      </c>
      <c r="D21" s="18" t="s">
        <v>1194</v>
      </c>
      <c r="E21" s="114"/>
      <c r="F21" s="18">
        <v>90014</v>
      </c>
      <c r="G21" s="19" t="s">
        <v>1195</v>
      </c>
      <c r="H21" s="18">
        <v>1</v>
      </c>
      <c r="I21" s="18" t="s">
        <v>146</v>
      </c>
      <c r="J21" s="44"/>
      <c r="K21" s="56"/>
    </row>
    <row r="22" spans="1:11" ht="15.75" customHeight="1" x14ac:dyDescent="0.2">
      <c r="A22" s="18" t="s">
        <v>44</v>
      </c>
      <c r="B22" s="19" t="s">
        <v>1165</v>
      </c>
      <c r="C22" s="19" t="s">
        <v>1177</v>
      </c>
      <c r="D22" s="18" t="s">
        <v>1196</v>
      </c>
      <c r="E22" s="114"/>
      <c r="F22" s="18">
        <v>90015</v>
      </c>
      <c r="G22" s="19" t="s">
        <v>1197</v>
      </c>
      <c r="H22" s="18">
        <v>1</v>
      </c>
      <c r="I22" s="18" t="s">
        <v>146</v>
      </c>
      <c r="J22" s="44"/>
      <c r="K22" s="56"/>
    </row>
    <row r="23" spans="1:11" ht="15.75" customHeight="1" x14ac:dyDescent="0.2">
      <c r="A23" s="18" t="s">
        <v>44</v>
      </c>
      <c r="B23" s="19" t="s">
        <v>1165</v>
      </c>
      <c r="C23" s="19" t="s">
        <v>1177</v>
      </c>
      <c r="D23" s="18" t="s">
        <v>1198</v>
      </c>
      <c r="E23" s="114" t="e" vm="215">
        <v>#VALUE!</v>
      </c>
      <c r="F23" s="18">
        <v>90016</v>
      </c>
      <c r="G23" s="19" t="s">
        <v>1199</v>
      </c>
      <c r="H23" s="18">
        <v>1</v>
      </c>
      <c r="I23" s="18" t="s">
        <v>146</v>
      </c>
      <c r="J23" s="44"/>
      <c r="K23" s="56"/>
    </row>
    <row r="24" spans="1:11" ht="15.75" customHeight="1" x14ac:dyDescent="0.2">
      <c r="A24" s="18" t="s">
        <v>44</v>
      </c>
      <c r="B24" s="19" t="s">
        <v>1165</v>
      </c>
      <c r="C24" s="19" t="s">
        <v>1177</v>
      </c>
      <c r="D24" s="18" t="s">
        <v>1200</v>
      </c>
      <c r="E24" s="114"/>
      <c r="F24" s="18">
        <v>90017</v>
      </c>
      <c r="G24" s="19" t="s">
        <v>1201</v>
      </c>
      <c r="H24" s="18">
        <v>1</v>
      </c>
      <c r="I24" s="18" t="s">
        <v>146</v>
      </c>
      <c r="J24" s="44"/>
      <c r="K24" s="56"/>
    </row>
    <row r="25" spans="1:11" ht="15.75" customHeight="1" x14ac:dyDescent="0.2">
      <c r="A25" s="18" t="s">
        <v>44</v>
      </c>
      <c r="B25" s="19" t="s">
        <v>1165</v>
      </c>
      <c r="C25" s="19" t="s">
        <v>1177</v>
      </c>
      <c r="D25" s="18" t="s">
        <v>1167</v>
      </c>
      <c r="E25" s="114" t="e" vm="216">
        <v>#VALUE!</v>
      </c>
      <c r="F25" s="18">
        <v>90018</v>
      </c>
      <c r="G25" s="19" t="s">
        <v>1202</v>
      </c>
      <c r="H25" s="18">
        <v>1</v>
      </c>
      <c r="I25" s="18" t="s">
        <v>146</v>
      </c>
      <c r="J25" s="44"/>
      <c r="K25" s="56"/>
    </row>
    <row r="26" spans="1:11" ht="15.75" customHeight="1" x14ac:dyDescent="0.2">
      <c r="A26" s="18" t="s">
        <v>44</v>
      </c>
      <c r="B26" s="19" t="s">
        <v>1165</v>
      </c>
      <c r="C26" s="19" t="s">
        <v>1177</v>
      </c>
      <c r="D26" s="18" t="s">
        <v>1169</v>
      </c>
      <c r="E26" s="114"/>
      <c r="F26" s="18">
        <v>90019</v>
      </c>
      <c r="G26" s="19" t="s">
        <v>1203</v>
      </c>
      <c r="H26" s="18">
        <v>1</v>
      </c>
      <c r="I26" s="18" t="s">
        <v>146</v>
      </c>
      <c r="J26" s="44"/>
      <c r="K26" s="56"/>
    </row>
    <row r="27" spans="1:11" ht="15.75" customHeight="1" x14ac:dyDescent="0.2">
      <c r="A27" s="18" t="s">
        <v>44</v>
      </c>
      <c r="B27" s="19" t="s">
        <v>1165</v>
      </c>
      <c r="C27" s="19" t="s">
        <v>1177</v>
      </c>
      <c r="D27" s="18" t="s">
        <v>1171</v>
      </c>
      <c r="E27" s="114"/>
      <c r="F27" s="18">
        <v>90020</v>
      </c>
      <c r="G27" s="19" t="s">
        <v>1204</v>
      </c>
      <c r="H27" s="18">
        <v>1</v>
      </c>
      <c r="I27" s="18" t="s">
        <v>146</v>
      </c>
      <c r="J27" s="44"/>
      <c r="K27" s="56"/>
    </row>
    <row r="28" spans="1:11" ht="15.75" customHeight="1" x14ac:dyDescent="0.2">
      <c r="A28" s="18" t="s">
        <v>44</v>
      </c>
      <c r="B28" s="19" t="s">
        <v>1165</v>
      </c>
      <c r="C28" s="19" t="s">
        <v>1177</v>
      </c>
      <c r="D28" s="18" t="s">
        <v>1167</v>
      </c>
      <c r="E28" s="114"/>
      <c r="F28" s="18">
        <v>90021</v>
      </c>
      <c r="G28" s="19" t="s">
        <v>1205</v>
      </c>
      <c r="H28" s="18">
        <v>1</v>
      </c>
      <c r="I28" s="18" t="s">
        <v>146</v>
      </c>
      <c r="J28" s="44"/>
      <c r="K28" s="56"/>
    </row>
    <row r="29" spans="1:11" ht="15.75" customHeight="1" x14ac:dyDescent="0.2">
      <c r="A29" s="18" t="s">
        <v>44</v>
      </c>
      <c r="B29" s="19" t="s">
        <v>1165</v>
      </c>
      <c r="C29" s="19" t="s">
        <v>1177</v>
      </c>
      <c r="D29" s="18" t="s">
        <v>1169</v>
      </c>
      <c r="E29" s="114"/>
      <c r="F29" s="18">
        <v>90022</v>
      </c>
      <c r="G29" s="19" t="s">
        <v>1206</v>
      </c>
      <c r="H29" s="18">
        <v>1</v>
      </c>
      <c r="I29" s="18" t="s">
        <v>146</v>
      </c>
      <c r="J29" s="44"/>
      <c r="K29" s="56"/>
    </row>
    <row r="30" spans="1:11" ht="15.75" customHeight="1" x14ac:dyDescent="0.2">
      <c r="A30" s="18" t="s">
        <v>44</v>
      </c>
      <c r="B30" s="19" t="s">
        <v>1165</v>
      </c>
      <c r="C30" s="19" t="s">
        <v>1177</v>
      </c>
      <c r="D30" s="18" t="s">
        <v>1171</v>
      </c>
      <c r="E30" s="114"/>
      <c r="F30" s="18">
        <v>90023</v>
      </c>
      <c r="G30" s="19" t="s">
        <v>1207</v>
      </c>
      <c r="H30" s="18">
        <v>1</v>
      </c>
      <c r="I30" s="18" t="s">
        <v>146</v>
      </c>
      <c r="J30" s="44"/>
      <c r="K30" s="56"/>
    </row>
    <row r="31" spans="1:11" ht="15.75" customHeight="1" x14ac:dyDescent="0.2">
      <c r="A31" s="18" t="s">
        <v>44</v>
      </c>
      <c r="B31" s="19" t="s">
        <v>1165</v>
      </c>
      <c r="C31" s="19" t="s">
        <v>1177</v>
      </c>
      <c r="D31" s="18" t="s">
        <v>1167</v>
      </c>
      <c r="E31" s="114"/>
      <c r="F31" s="18">
        <v>90024</v>
      </c>
      <c r="G31" s="19" t="s">
        <v>1208</v>
      </c>
      <c r="H31" s="18">
        <v>1</v>
      </c>
      <c r="I31" s="18" t="s">
        <v>146</v>
      </c>
      <c r="J31" s="44"/>
      <c r="K31" s="56"/>
    </row>
    <row r="32" spans="1:11" ht="15.75" customHeight="1" x14ac:dyDescent="0.2">
      <c r="A32" s="18" t="s">
        <v>44</v>
      </c>
      <c r="B32" s="19" t="s">
        <v>1165</v>
      </c>
      <c r="C32" s="19" t="s">
        <v>1177</v>
      </c>
      <c r="D32" s="18" t="s">
        <v>1169</v>
      </c>
      <c r="E32" s="114"/>
      <c r="F32" s="18">
        <v>90025</v>
      </c>
      <c r="G32" s="19" t="s">
        <v>1209</v>
      </c>
      <c r="H32" s="18">
        <v>1</v>
      </c>
      <c r="I32" s="18" t="s">
        <v>146</v>
      </c>
      <c r="J32" s="44"/>
      <c r="K32" s="56"/>
    </row>
    <row r="33" spans="1:11" ht="15.75" customHeight="1" x14ac:dyDescent="0.2">
      <c r="A33" s="18" t="s">
        <v>44</v>
      </c>
      <c r="B33" s="19" t="s">
        <v>1165</v>
      </c>
      <c r="C33" s="19" t="s">
        <v>1177</v>
      </c>
      <c r="D33" s="18" t="s">
        <v>1171</v>
      </c>
      <c r="E33" s="114"/>
      <c r="F33" s="18">
        <v>90026</v>
      </c>
      <c r="G33" s="19" t="s">
        <v>1210</v>
      </c>
      <c r="H33" s="18">
        <v>1</v>
      </c>
      <c r="I33" s="18" t="s">
        <v>146</v>
      </c>
      <c r="J33" s="44"/>
      <c r="K33" s="56"/>
    </row>
    <row r="34" spans="1:11" ht="15.75" customHeight="1" x14ac:dyDescent="0.2">
      <c r="A34" s="18" t="s">
        <v>44</v>
      </c>
      <c r="B34" s="19" t="s">
        <v>1165</v>
      </c>
      <c r="C34" s="19" t="s">
        <v>1177</v>
      </c>
      <c r="D34" s="18" t="s">
        <v>1167</v>
      </c>
      <c r="E34" s="114"/>
      <c r="F34" s="18">
        <v>90027</v>
      </c>
      <c r="G34" s="19" t="s">
        <v>1211</v>
      </c>
      <c r="H34" s="18">
        <v>1</v>
      </c>
      <c r="I34" s="18" t="s">
        <v>146</v>
      </c>
      <c r="J34" s="44"/>
      <c r="K34" s="56"/>
    </row>
    <row r="35" spans="1:11" ht="15.75" customHeight="1" x14ac:dyDescent="0.2">
      <c r="A35" s="18" t="s">
        <v>44</v>
      </c>
      <c r="B35" s="19" t="s">
        <v>1165</v>
      </c>
      <c r="C35" s="19" t="s">
        <v>1177</v>
      </c>
      <c r="D35" s="18" t="s">
        <v>1169</v>
      </c>
      <c r="E35" s="114"/>
      <c r="F35" s="18">
        <v>90028</v>
      </c>
      <c r="G35" s="19" t="s">
        <v>1212</v>
      </c>
      <c r="H35" s="18">
        <v>1</v>
      </c>
      <c r="I35" s="18" t="s">
        <v>146</v>
      </c>
      <c r="J35" s="44"/>
      <c r="K35" s="56"/>
    </row>
    <row r="36" spans="1:11" ht="15.75" customHeight="1" x14ac:dyDescent="0.2">
      <c r="A36" s="18" t="s">
        <v>44</v>
      </c>
      <c r="B36" s="19" t="s">
        <v>1165</v>
      </c>
      <c r="C36" s="19" t="s">
        <v>1177</v>
      </c>
      <c r="D36" s="18" t="s">
        <v>1171</v>
      </c>
      <c r="E36" s="114"/>
      <c r="F36" s="18">
        <v>90029</v>
      </c>
      <c r="G36" s="19" t="s">
        <v>1213</v>
      </c>
      <c r="H36" s="18">
        <v>1</v>
      </c>
      <c r="I36" s="18" t="s">
        <v>146</v>
      </c>
      <c r="J36" s="44"/>
      <c r="K36" s="56"/>
    </row>
    <row r="37" spans="1:11" ht="15.75" customHeight="1" x14ac:dyDescent="0.2">
      <c r="A37" s="18" t="s">
        <v>44</v>
      </c>
      <c r="B37" s="19" t="s">
        <v>1165</v>
      </c>
      <c r="C37" s="19" t="s">
        <v>1177</v>
      </c>
      <c r="D37" s="18" t="s">
        <v>1214</v>
      </c>
      <c r="E37" s="114" t="e" vm="217">
        <v>#VALUE!</v>
      </c>
      <c r="F37" s="18">
        <v>90030</v>
      </c>
      <c r="G37" s="19" t="s">
        <v>1215</v>
      </c>
      <c r="H37" s="18">
        <v>1</v>
      </c>
      <c r="I37" s="18" t="s">
        <v>146</v>
      </c>
      <c r="J37" s="44"/>
      <c r="K37" s="56"/>
    </row>
    <row r="38" spans="1:11" ht="15.75" customHeight="1" x14ac:dyDescent="0.2">
      <c r="A38" s="18" t="s">
        <v>44</v>
      </c>
      <c r="B38" s="19" t="s">
        <v>1165</v>
      </c>
      <c r="C38" s="19" t="s">
        <v>1177</v>
      </c>
      <c r="D38" s="18" t="s">
        <v>1214</v>
      </c>
      <c r="E38" s="114"/>
      <c r="F38" s="18">
        <v>90031</v>
      </c>
      <c r="G38" s="19" t="s">
        <v>1216</v>
      </c>
      <c r="H38" s="18">
        <v>1</v>
      </c>
      <c r="I38" s="18" t="s">
        <v>146</v>
      </c>
      <c r="J38" s="44"/>
      <c r="K38" s="56"/>
    </row>
    <row r="39" spans="1:11" ht="15.75" customHeight="1" x14ac:dyDescent="0.2">
      <c r="A39" s="18" t="s">
        <v>44</v>
      </c>
      <c r="B39" s="19" t="s">
        <v>1165</v>
      </c>
      <c r="C39" s="19" t="s">
        <v>1177</v>
      </c>
      <c r="D39" s="18" t="s">
        <v>1214</v>
      </c>
      <c r="E39" s="114"/>
      <c r="F39" s="18">
        <v>90032</v>
      </c>
      <c r="G39" s="19" t="s">
        <v>1217</v>
      </c>
      <c r="H39" s="18">
        <v>1</v>
      </c>
      <c r="I39" s="18" t="s">
        <v>146</v>
      </c>
      <c r="J39" s="44"/>
      <c r="K39" s="56"/>
    </row>
    <row r="40" spans="1:11" ht="15.75" customHeight="1" x14ac:dyDescent="0.2">
      <c r="A40" s="18" t="s">
        <v>44</v>
      </c>
      <c r="B40" s="19" t="s">
        <v>1165</v>
      </c>
      <c r="C40" s="19" t="s">
        <v>1177</v>
      </c>
      <c r="D40" s="18" t="s">
        <v>1214</v>
      </c>
      <c r="E40" s="114"/>
      <c r="F40" s="18">
        <v>90033</v>
      </c>
      <c r="G40" s="19" t="s">
        <v>1218</v>
      </c>
      <c r="H40" s="18">
        <v>1</v>
      </c>
      <c r="I40" s="18" t="s">
        <v>146</v>
      </c>
      <c r="J40" s="44"/>
      <c r="K40" s="56"/>
    </row>
    <row r="41" spans="1:11" ht="15.75" customHeight="1" x14ac:dyDescent="0.2">
      <c r="A41" s="18" t="s">
        <v>44</v>
      </c>
      <c r="B41" s="19" t="s">
        <v>1165</v>
      </c>
      <c r="C41" s="19" t="s">
        <v>1177</v>
      </c>
      <c r="D41" s="18" t="s">
        <v>1178</v>
      </c>
      <c r="E41" s="114" t="e" vm="218">
        <v>#VALUE!</v>
      </c>
      <c r="F41" s="18">
        <v>90039</v>
      </c>
      <c r="G41" s="19" t="s">
        <v>1219</v>
      </c>
      <c r="H41" s="18">
        <v>1</v>
      </c>
      <c r="I41" s="18" t="s">
        <v>146</v>
      </c>
      <c r="J41" s="44"/>
      <c r="K41" s="56"/>
    </row>
    <row r="42" spans="1:11" ht="15.75" customHeight="1" x14ac:dyDescent="0.2">
      <c r="A42" s="18" t="s">
        <v>44</v>
      </c>
      <c r="B42" s="19" t="s">
        <v>1165</v>
      </c>
      <c r="C42" s="19" t="s">
        <v>1177</v>
      </c>
      <c r="D42" s="18" t="s">
        <v>1178</v>
      </c>
      <c r="E42" s="114"/>
      <c r="F42" s="18">
        <v>90040</v>
      </c>
      <c r="G42" s="19" t="s">
        <v>1220</v>
      </c>
      <c r="H42" s="18">
        <v>1</v>
      </c>
      <c r="I42" s="18" t="s">
        <v>146</v>
      </c>
      <c r="J42" s="44"/>
      <c r="K42" s="56"/>
    </row>
    <row r="43" spans="1:11" ht="15.75" customHeight="1" x14ac:dyDescent="0.2">
      <c r="A43" s="18" t="s">
        <v>44</v>
      </c>
      <c r="B43" s="19" t="s">
        <v>1165</v>
      </c>
      <c r="C43" s="19" t="s">
        <v>1177</v>
      </c>
      <c r="D43" s="18" t="s">
        <v>1214</v>
      </c>
      <c r="E43" s="114"/>
      <c r="F43" s="18">
        <v>90041</v>
      </c>
      <c r="G43" s="19" t="s">
        <v>1221</v>
      </c>
      <c r="H43" s="18">
        <v>1</v>
      </c>
      <c r="I43" s="18" t="s">
        <v>146</v>
      </c>
      <c r="J43" s="44"/>
      <c r="K43" s="56"/>
    </row>
    <row r="44" spans="1:11" ht="15.75" customHeight="1" x14ac:dyDescent="0.2">
      <c r="A44" s="18" t="s">
        <v>44</v>
      </c>
      <c r="B44" s="19" t="s">
        <v>1165</v>
      </c>
      <c r="C44" s="19" t="s">
        <v>1177</v>
      </c>
      <c r="D44" s="18" t="s">
        <v>1167</v>
      </c>
      <c r="E44" s="114" t="e" vm="219">
        <v>#VALUE!</v>
      </c>
      <c r="F44" s="18">
        <v>90042</v>
      </c>
      <c r="G44" s="19" t="s">
        <v>1222</v>
      </c>
      <c r="H44" s="18">
        <v>1</v>
      </c>
      <c r="I44" s="18" t="s">
        <v>146</v>
      </c>
      <c r="J44" s="44"/>
      <c r="K44" s="56"/>
    </row>
    <row r="45" spans="1:11" ht="15.75" customHeight="1" x14ac:dyDescent="0.2">
      <c r="A45" s="18" t="s">
        <v>44</v>
      </c>
      <c r="B45" s="19" t="s">
        <v>1165</v>
      </c>
      <c r="C45" s="19" t="s">
        <v>1177</v>
      </c>
      <c r="D45" s="18" t="s">
        <v>1169</v>
      </c>
      <c r="E45" s="114"/>
      <c r="F45" s="18">
        <v>90043</v>
      </c>
      <c r="G45" s="19" t="s">
        <v>1223</v>
      </c>
      <c r="H45" s="18">
        <v>1</v>
      </c>
      <c r="I45" s="18" t="s">
        <v>146</v>
      </c>
      <c r="J45" s="44"/>
      <c r="K45" s="56"/>
    </row>
    <row r="46" spans="1:11" ht="15.75" customHeight="1" x14ac:dyDescent="0.2">
      <c r="A46" s="18" t="s">
        <v>44</v>
      </c>
      <c r="B46" s="19" t="s">
        <v>1165</v>
      </c>
      <c r="C46" s="19" t="s">
        <v>1177</v>
      </c>
      <c r="D46" s="18" t="s">
        <v>1171</v>
      </c>
      <c r="E46" s="114"/>
      <c r="F46" s="18">
        <v>90044</v>
      </c>
      <c r="G46" s="19" t="s">
        <v>1224</v>
      </c>
      <c r="H46" s="18">
        <v>1</v>
      </c>
      <c r="I46" s="18" t="s">
        <v>146</v>
      </c>
      <c r="J46" s="44"/>
      <c r="K46" s="56"/>
    </row>
    <row r="47" spans="1:11" ht="15.75" customHeight="1" x14ac:dyDescent="0.2">
      <c r="A47" s="18" t="s">
        <v>44</v>
      </c>
      <c r="B47" s="19" t="s">
        <v>1165</v>
      </c>
      <c r="C47" s="19" t="s">
        <v>1177</v>
      </c>
      <c r="D47" s="18" t="s">
        <v>1178</v>
      </c>
      <c r="E47" s="114" t="e" vm="220">
        <v>#VALUE!</v>
      </c>
      <c r="F47" s="18">
        <v>90045</v>
      </c>
      <c r="G47" s="19" t="s">
        <v>1225</v>
      </c>
      <c r="H47" s="18">
        <v>1</v>
      </c>
      <c r="I47" s="18" t="s">
        <v>146</v>
      </c>
      <c r="J47" s="44"/>
      <c r="K47" s="56"/>
    </row>
    <row r="48" spans="1:11" ht="15.75" customHeight="1" x14ac:dyDescent="0.2">
      <c r="A48" s="18" t="s">
        <v>44</v>
      </c>
      <c r="B48" s="19" t="s">
        <v>1165</v>
      </c>
      <c r="C48" s="19" t="s">
        <v>1177</v>
      </c>
      <c r="D48" s="18" t="s">
        <v>1178</v>
      </c>
      <c r="E48" s="114"/>
      <c r="F48" s="18">
        <v>90046</v>
      </c>
      <c r="G48" s="19" t="s">
        <v>1226</v>
      </c>
      <c r="H48" s="18">
        <v>1</v>
      </c>
      <c r="I48" s="18" t="s">
        <v>146</v>
      </c>
      <c r="J48" s="44"/>
      <c r="K48" s="56"/>
    </row>
    <row r="49" spans="1:11" ht="15.75" customHeight="1" x14ac:dyDescent="0.2">
      <c r="A49" s="18" t="s">
        <v>44</v>
      </c>
      <c r="B49" s="19" t="s">
        <v>1165</v>
      </c>
      <c r="C49" s="19" t="s">
        <v>1177</v>
      </c>
      <c r="D49" s="18" t="s">
        <v>1214</v>
      </c>
      <c r="E49" s="114"/>
      <c r="F49" s="18">
        <v>90047</v>
      </c>
      <c r="G49" s="19" t="s">
        <v>1227</v>
      </c>
      <c r="H49" s="18">
        <v>1</v>
      </c>
      <c r="I49" s="18" t="s">
        <v>146</v>
      </c>
      <c r="J49" s="44"/>
      <c r="K49" s="56"/>
    </row>
    <row r="50" spans="1:11" ht="15.75" customHeight="1" x14ac:dyDescent="0.2">
      <c r="A50" s="18" t="s">
        <v>44</v>
      </c>
      <c r="B50" s="19" t="s">
        <v>1165</v>
      </c>
      <c r="C50" s="19" t="s">
        <v>1177</v>
      </c>
      <c r="D50" s="18" t="s">
        <v>1167</v>
      </c>
      <c r="E50" s="114" t="e" vm="221">
        <v>#VALUE!</v>
      </c>
      <c r="F50" s="18">
        <v>90048</v>
      </c>
      <c r="G50" s="19" t="s">
        <v>1228</v>
      </c>
      <c r="H50" s="18">
        <v>1</v>
      </c>
      <c r="I50" s="18" t="s">
        <v>146</v>
      </c>
      <c r="J50" s="44"/>
      <c r="K50" s="56"/>
    </row>
    <row r="51" spans="1:11" ht="15.75" customHeight="1" x14ac:dyDescent="0.2">
      <c r="A51" s="18" t="s">
        <v>44</v>
      </c>
      <c r="B51" s="19" t="s">
        <v>1165</v>
      </c>
      <c r="C51" s="19" t="s">
        <v>1177</v>
      </c>
      <c r="D51" s="18" t="s">
        <v>1169</v>
      </c>
      <c r="E51" s="114"/>
      <c r="F51" s="18">
        <v>90049</v>
      </c>
      <c r="G51" s="19" t="s">
        <v>1229</v>
      </c>
      <c r="H51" s="18">
        <v>1</v>
      </c>
      <c r="I51" s="18" t="s">
        <v>146</v>
      </c>
      <c r="J51" s="44"/>
      <c r="K51" s="56"/>
    </row>
    <row r="52" spans="1:11" ht="15.75" customHeight="1" x14ac:dyDescent="0.2">
      <c r="A52" s="18" t="s">
        <v>44</v>
      </c>
      <c r="B52" s="19" t="s">
        <v>1165</v>
      </c>
      <c r="C52" s="19" t="s">
        <v>1177</v>
      </c>
      <c r="D52" s="18" t="s">
        <v>1171</v>
      </c>
      <c r="E52" s="114"/>
      <c r="F52" s="18">
        <v>90050</v>
      </c>
      <c r="G52" s="19" t="s">
        <v>1230</v>
      </c>
      <c r="H52" s="18">
        <v>1</v>
      </c>
      <c r="I52" s="18" t="s">
        <v>146</v>
      </c>
      <c r="J52" s="44"/>
      <c r="K52" s="56"/>
    </row>
    <row r="53" spans="1:11" ht="15.75" customHeight="1" x14ac:dyDescent="0.2">
      <c r="A53" s="18" t="s">
        <v>44</v>
      </c>
      <c r="B53" s="19" t="s">
        <v>1165</v>
      </c>
      <c r="C53" s="19" t="s">
        <v>1177</v>
      </c>
      <c r="D53" s="38" t="s">
        <v>1231</v>
      </c>
      <c r="E53" s="114" t="e" vm="222">
        <v>#VALUE!</v>
      </c>
      <c r="F53" s="18">
        <v>90051</v>
      </c>
      <c r="G53" s="19" t="s">
        <v>1232</v>
      </c>
      <c r="H53" s="18">
        <v>1</v>
      </c>
      <c r="I53" s="18" t="s">
        <v>146</v>
      </c>
      <c r="J53" s="44"/>
      <c r="K53" s="56"/>
    </row>
    <row r="54" spans="1:11" ht="15.75" customHeight="1" x14ac:dyDescent="0.2">
      <c r="A54" s="18" t="s">
        <v>44</v>
      </c>
      <c r="B54" s="19" t="s">
        <v>1165</v>
      </c>
      <c r="C54" s="19" t="s">
        <v>1177</v>
      </c>
      <c r="D54" s="38" t="s">
        <v>1233</v>
      </c>
      <c r="E54" s="114"/>
      <c r="F54" s="18">
        <v>90052</v>
      </c>
      <c r="G54" s="19" t="s">
        <v>1234</v>
      </c>
      <c r="H54" s="18">
        <v>1</v>
      </c>
      <c r="I54" s="18" t="s">
        <v>146</v>
      </c>
      <c r="J54" s="44"/>
      <c r="K54" s="56"/>
    </row>
    <row r="55" spans="1:11" ht="15.75" customHeight="1" x14ac:dyDescent="0.2">
      <c r="A55" s="18" t="s">
        <v>44</v>
      </c>
      <c r="B55" s="19" t="s">
        <v>1165</v>
      </c>
      <c r="C55" s="19" t="s">
        <v>1177</v>
      </c>
      <c r="D55" s="18" t="s">
        <v>1175</v>
      </c>
      <c r="E55" s="114"/>
      <c r="F55" s="18">
        <v>90053</v>
      </c>
      <c r="G55" s="19" t="s">
        <v>1235</v>
      </c>
      <c r="H55" s="18">
        <v>1</v>
      </c>
      <c r="I55" s="18" t="s">
        <v>146</v>
      </c>
      <c r="J55" s="44"/>
      <c r="K55" s="56"/>
    </row>
    <row r="56" spans="1:11" ht="15.75" customHeight="1" x14ac:dyDescent="0.2">
      <c r="A56" s="18" t="s">
        <v>44</v>
      </c>
      <c r="B56" s="19" t="s">
        <v>1165</v>
      </c>
      <c r="C56" s="19" t="s">
        <v>1236</v>
      </c>
      <c r="D56" s="18" t="s">
        <v>1173</v>
      </c>
      <c r="E56" s="125" t="e" vm="223">
        <v>#VALUE!</v>
      </c>
      <c r="F56" s="18">
        <v>90060</v>
      </c>
      <c r="G56" s="19" t="s">
        <v>1237</v>
      </c>
      <c r="H56" s="18">
        <v>1</v>
      </c>
      <c r="I56" s="18" t="s">
        <v>146</v>
      </c>
      <c r="J56" s="44"/>
      <c r="K56" s="56"/>
    </row>
    <row r="57" spans="1:11" ht="15.75" customHeight="1" x14ac:dyDescent="0.2">
      <c r="A57" s="18" t="s">
        <v>44</v>
      </c>
      <c r="B57" s="19" t="s">
        <v>1165</v>
      </c>
      <c r="C57" s="19" t="s">
        <v>1236</v>
      </c>
      <c r="D57" s="18" t="s">
        <v>1214</v>
      </c>
      <c r="E57" s="108"/>
      <c r="F57" s="18">
        <v>90061</v>
      </c>
      <c r="G57" s="19" t="s">
        <v>1238</v>
      </c>
      <c r="H57" s="18">
        <v>1</v>
      </c>
      <c r="I57" s="18" t="s">
        <v>146</v>
      </c>
      <c r="J57" s="44"/>
      <c r="K57" s="56"/>
    </row>
    <row r="58" spans="1:11" ht="15.75" customHeight="1" x14ac:dyDescent="0.2">
      <c r="A58" s="18" t="s">
        <v>44</v>
      </c>
      <c r="B58" s="19" t="s">
        <v>1165</v>
      </c>
      <c r="C58" s="19" t="s">
        <v>1236</v>
      </c>
      <c r="D58" s="18" t="s">
        <v>1214</v>
      </c>
      <c r="E58" s="108"/>
      <c r="F58" s="18">
        <v>90062</v>
      </c>
      <c r="G58" s="19" t="s">
        <v>1239</v>
      </c>
      <c r="H58" s="18">
        <v>1</v>
      </c>
      <c r="I58" s="18" t="s">
        <v>146</v>
      </c>
      <c r="J58" s="44"/>
      <c r="K58" s="56"/>
    </row>
    <row r="59" spans="1:11" ht="15.75" customHeight="1" x14ac:dyDescent="0.2">
      <c r="A59" s="18" t="s">
        <v>44</v>
      </c>
      <c r="B59" s="19" t="s">
        <v>1165</v>
      </c>
      <c r="C59" s="19" t="s">
        <v>1236</v>
      </c>
      <c r="D59" s="18" t="s">
        <v>1214</v>
      </c>
      <c r="E59" s="108"/>
      <c r="F59" s="18">
        <v>90063</v>
      </c>
      <c r="G59" s="19" t="s">
        <v>1240</v>
      </c>
      <c r="H59" s="18">
        <v>1</v>
      </c>
      <c r="I59" s="18" t="s">
        <v>146</v>
      </c>
      <c r="J59" s="44"/>
      <c r="K59" s="56"/>
    </row>
    <row r="60" spans="1:11" ht="15.75" customHeight="1" x14ac:dyDescent="0.2">
      <c r="A60" s="18" t="s">
        <v>44</v>
      </c>
      <c r="B60" s="19" t="s">
        <v>1165</v>
      </c>
      <c r="C60" s="19" t="s">
        <v>1236</v>
      </c>
      <c r="D60" s="18" t="s">
        <v>1214</v>
      </c>
      <c r="E60" s="108"/>
      <c r="F60" s="18">
        <v>90064</v>
      </c>
      <c r="G60" s="19" t="s">
        <v>1241</v>
      </c>
      <c r="H60" s="18">
        <v>1</v>
      </c>
      <c r="I60" s="18" t="s">
        <v>146</v>
      </c>
      <c r="J60" s="44"/>
      <c r="K60" s="56"/>
    </row>
    <row r="61" spans="1:11" ht="15.75" customHeight="1" x14ac:dyDescent="0.2">
      <c r="A61" s="18" t="s">
        <v>44</v>
      </c>
      <c r="B61" s="19" t="s">
        <v>1165</v>
      </c>
      <c r="C61" s="19" t="s">
        <v>1236</v>
      </c>
      <c r="D61" s="18" t="s">
        <v>1173</v>
      </c>
      <c r="E61" s="108"/>
      <c r="F61" s="18">
        <v>90065</v>
      </c>
      <c r="G61" s="19" t="s">
        <v>1242</v>
      </c>
      <c r="H61" s="18">
        <v>1</v>
      </c>
      <c r="I61" s="18" t="s">
        <v>146</v>
      </c>
      <c r="J61" s="44"/>
      <c r="K61" s="56"/>
    </row>
    <row r="62" spans="1:11" ht="15.75" customHeight="1" x14ac:dyDescent="0.2">
      <c r="A62" s="18" t="s">
        <v>44</v>
      </c>
      <c r="B62" s="19" t="s">
        <v>1165</v>
      </c>
      <c r="C62" s="19" t="s">
        <v>1236</v>
      </c>
      <c r="D62" s="18" t="s">
        <v>1173</v>
      </c>
      <c r="E62" s="108"/>
      <c r="F62" s="18">
        <v>90066</v>
      </c>
      <c r="G62" s="19" t="s">
        <v>1243</v>
      </c>
      <c r="H62" s="18">
        <v>1</v>
      </c>
      <c r="I62" s="18" t="s">
        <v>146</v>
      </c>
      <c r="J62" s="44"/>
      <c r="K62" s="56"/>
    </row>
    <row r="63" spans="1:11" ht="15.75" customHeight="1" x14ac:dyDescent="0.2">
      <c r="A63" s="18" t="s">
        <v>44</v>
      </c>
      <c r="B63" s="19" t="s">
        <v>1165</v>
      </c>
      <c r="C63" s="19" t="s">
        <v>1236</v>
      </c>
      <c r="D63" s="18" t="s">
        <v>1173</v>
      </c>
      <c r="E63" s="108"/>
      <c r="F63" s="18">
        <v>90067</v>
      </c>
      <c r="G63" s="19" t="s">
        <v>1244</v>
      </c>
      <c r="H63" s="18">
        <v>1</v>
      </c>
      <c r="I63" s="18" t="s">
        <v>146</v>
      </c>
      <c r="J63" s="44"/>
      <c r="K63" s="56"/>
    </row>
    <row r="64" spans="1:11" ht="15.75" customHeight="1" x14ac:dyDescent="0.2">
      <c r="A64" s="18" t="s">
        <v>44</v>
      </c>
      <c r="B64" s="19" t="s">
        <v>1165</v>
      </c>
      <c r="C64" s="19" t="s">
        <v>1236</v>
      </c>
      <c r="D64" s="18" t="s">
        <v>1173</v>
      </c>
      <c r="E64" s="108"/>
      <c r="F64" s="18">
        <v>90069</v>
      </c>
      <c r="G64" s="19" t="s">
        <v>1245</v>
      </c>
      <c r="H64" s="18">
        <v>1</v>
      </c>
      <c r="I64" s="18" t="s">
        <v>146</v>
      </c>
      <c r="J64" s="44"/>
      <c r="K64" s="56"/>
    </row>
    <row r="65" spans="1:11" ht="15.75" customHeight="1" x14ac:dyDescent="0.2">
      <c r="A65" s="18" t="s">
        <v>44</v>
      </c>
      <c r="B65" s="19" t="s">
        <v>1165</v>
      </c>
      <c r="C65" s="19" t="s">
        <v>1236</v>
      </c>
      <c r="D65" s="18" t="s">
        <v>1167</v>
      </c>
      <c r="E65" s="108"/>
      <c r="F65" s="18">
        <v>90070</v>
      </c>
      <c r="G65" s="19" t="s">
        <v>1246</v>
      </c>
      <c r="H65" s="18">
        <v>1</v>
      </c>
      <c r="I65" s="18" t="s">
        <v>146</v>
      </c>
      <c r="J65" s="44"/>
      <c r="K65" s="56"/>
    </row>
    <row r="66" spans="1:11" ht="15.75" customHeight="1" x14ac:dyDescent="0.2">
      <c r="A66" s="18" t="s">
        <v>44</v>
      </c>
      <c r="B66" s="19" t="s">
        <v>1165</v>
      </c>
      <c r="C66" s="19" t="s">
        <v>1236</v>
      </c>
      <c r="D66" s="18" t="s">
        <v>1167</v>
      </c>
      <c r="E66" s="108"/>
      <c r="F66" s="18">
        <v>90071</v>
      </c>
      <c r="G66" s="19" t="s">
        <v>1247</v>
      </c>
      <c r="H66" s="18">
        <v>1</v>
      </c>
      <c r="I66" s="18" t="s">
        <v>146</v>
      </c>
      <c r="J66" s="44"/>
      <c r="K66" s="56"/>
    </row>
    <row r="67" spans="1:11" ht="15.75" customHeight="1" x14ac:dyDescent="0.2">
      <c r="A67" s="18" t="s">
        <v>44</v>
      </c>
      <c r="B67" s="19" t="s">
        <v>1165</v>
      </c>
      <c r="C67" s="19" t="s">
        <v>1236</v>
      </c>
      <c r="D67" s="18" t="s">
        <v>1214</v>
      </c>
      <c r="E67" s="108" t="e" vm="224">
        <v>#VALUE!</v>
      </c>
      <c r="F67" s="18">
        <v>90073</v>
      </c>
      <c r="G67" s="19" t="s">
        <v>1248</v>
      </c>
      <c r="H67" s="18">
        <v>1</v>
      </c>
      <c r="I67" s="18" t="s">
        <v>146</v>
      </c>
      <c r="J67" s="44"/>
      <c r="K67" s="56"/>
    </row>
    <row r="68" spans="1:11" ht="15.75" customHeight="1" x14ac:dyDescent="0.2">
      <c r="A68" s="18" t="s">
        <v>44</v>
      </c>
      <c r="B68" s="19" t="s">
        <v>1165</v>
      </c>
      <c r="C68" s="19" t="s">
        <v>1236</v>
      </c>
      <c r="D68" s="18" t="s">
        <v>1214</v>
      </c>
      <c r="E68" s="109"/>
      <c r="F68" s="18">
        <v>90074</v>
      </c>
      <c r="G68" s="19" t="s">
        <v>1249</v>
      </c>
      <c r="H68" s="18">
        <v>1</v>
      </c>
      <c r="I68" s="18" t="s">
        <v>146</v>
      </c>
      <c r="J68" s="44"/>
      <c r="K68" s="56"/>
    </row>
    <row r="69" spans="1:11" ht="15.75" customHeight="1" x14ac:dyDescent="0.2">
      <c r="A69" s="18" t="s">
        <v>44</v>
      </c>
      <c r="B69" s="19" t="s">
        <v>1165</v>
      </c>
      <c r="C69" s="19" t="s">
        <v>1236</v>
      </c>
      <c r="D69" s="18" t="s">
        <v>1214</v>
      </c>
      <c r="E69" s="109"/>
      <c r="F69" s="18">
        <v>90075</v>
      </c>
      <c r="G69" s="19" t="s">
        <v>1250</v>
      </c>
      <c r="H69" s="18">
        <v>1</v>
      </c>
      <c r="I69" s="18" t="s">
        <v>146</v>
      </c>
      <c r="J69" s="44"/>
      <c r="K69" s="56"/>
    </row>
    <row r="70" spans="1:11" ht="15.75" customHeight="1" x14ac:dyDescent="0.2">
      <c r="A70" s="18" t="s">
        <v>44</v>
      </c>
      <c r="B70" s="19" t="s">
        <v>1165</v>
      </c>
      <c r="C70" s="19" t="s">
        <v>1236</v>
      </c>
      <c r="D70" s="18" t="s">
        <v>1173</v>
      </c>
      <c r="E70" s="109"/>
      <c r="F70" s="18">
        <v>90076</v>
      </c>
      <c r="G70" s="19" t="s">
        <v>1251</v>
      </c>
      <c r="H70" s="18">
        <v>1</v>
      </c>
      <c r="I70" s="18" t="s">
        <v>146</v>
      </c>
      <c r="J70" s="44"/>
      <c r="K70" s="56"/>
    </row>
    <row r="71" spans="1:11" ht="15.75" customHeight="1" x14ac:dyDescent="0.2">
      <c r="A71" s="18" t="s">
        <v>44</v>
      </c>
      <c r="B71" s="19" t="s">
        <v>1165</v>
      </c>
      <c r="C71" s="19" t="s">
        <v>1236</v>
      </c>
      <c r="D71" s="18" t="s">
        <v>1173</v>
      </c>
      <c r="E71" s="109"/>
      <c r="F71" s="18">
        <v>90077</v>
      </c>
      <c r="G71" s="19" t="s">
        <v>1252</v>
      </c>
      <c r="H71" s="18">
        <v>1</v>
      </c>
      <c r="I71" s="18" t="s">
        <v>146</v>
      </c>
      <c r="J71" s="44"/>
      <c r="K71" s="56"/>
    </row>
    <row r="72" spans="1:11" ht="15.75" customHeight="1" x14ac:dyDescent="0.2">
      <c r="A72" s="18" t="s">
        <v>44</v>
      </c>
      <c r="B72" s="19" t="s">
        <v>1165</v>
      </c>
      <c r="C72" s="19" t="s">
        <v>1236</v>
      </c>
      <c r="D72" s="18" t="s">
        <v>1214</v>
      </c>
      <c r="E72" s="106" t="e" vm="225">
        <v>#VALUE!</v>
      </c>
      <c r="F72" s="18">
        <v>90080</v>
      </c>
      <c r="G72" s="19" t="s">
        <v>1253</v>
      </c>
      <c r="H72" s="18">
        <v>1</v>
      </c>
      <c r="I72" s="18" t="s">
        <v>146</v>
      </c>
      <c r="J72" s="44"/>
      <c r="K72" s="56"/>
    </row>
    <row r="73" spans="1:11" ht="15.75" customHeight="1" x14ac:dyDescent="0.2">
      <c r="A73" s="18" t="s">
        <v>44</v>
      </c>
      <c r="B73" s="19" t="s">
        <v>1165</v>
      </c>
      <c r="C73" s="19" t="s">
        <v>1236</v>
      </c>
      <c r="D73" s="18" t="s">
        <v>1214</v>
      </c>
      <c r="E73" s="104"/>
      <c r="F73" s="18">
        <v>90081</v>
      </c>
      <c r="G73" s="19" t="s">
        <v>1254</v>
      </c>
      <c r="H73" s="18">
        <v>1</v>
      </c>
      <c r="I73" s="18" t="s">
        <v>146</v>
      </c>
      <c r="J73" s="44"/>
      <c r="K73" s="56"/>
    </row>
    <row r="74" spans="1:11" ht="15.75" customHeight="1" x14ac:dyDescent="0.2">
      <c r="A74" s="18" t="s">
        <v>44</v>
      </c>
      <c r="B74" s="19" t="s">
        <v>1165</v>
      </c>
      <c r="C74" s="19" t="s">
        <v>1236</v>
      </c>
      <c r="D74" s="18" t="s">
        <v>1173</v>
      </c>
      <c r="E74" s="104"/>
      <c r="F74" s="18">
        <v>90082</v>
      </c>
      <c r="G74" s="19" t="s">
        <v>1255</v>
      </c>
      <c r="H74" s="18">
        <v>1</v>
      </c>
      <c r="I74" s="18" t="s">
        <v>146</v>
      </c>
      <c r="J74" s="44"/>
      <c r="K74" s="56"/>
    </row>
    <row r="75" spans="1:11" ht="15.75" customHeight="1" x14ac:dyDescent="0.2">
      <c r="A75" s="18" t="s">
        <v>44</v>
      </c>
      <c r="B75" s="19" t="s">
        <v>1165</v>
      </c>
      <c r="C75" s="19" t="s">
        <v>1236</v>
      </c>
      <c r="D75" s="18" t="s">
        <v>1173</v>
      </c>
      <c r="E75" s="105"/>
      <c r="F75" s="18">
        <v>90083</v>
      </c>
      <c r="G75" s="19" t="s">
        <v>1256</v>
      </c>
      <c r="H75" s="18">
        <v>1</v>
      </c>
      <c r="I75" s="18" t="s">
        <v>146</v>
      </c>
      <c r="J75" s="44"/>
      <c r="K75" s="56"/>
    </row>
    <row r="76" spans="1:11" ht="15.75" customHeight="1" x14ac:dyDescent="0.2">
      <c r="A76" s="18" t="s">
        <v>44</v>
      </c>
      <c r="B76" s="19" t="s">
        <v>1165</v>
      </c>
      <c r="C76" s="19" t="s">
        <v>1236</v>
      </c>
      <c r="D76" s="18" t="s">
        <v>1214</v>
      </c>
      <c r="E76" s="115" t="e" vm="226">
        <v>#VALUE!</v>
      </c>
      <c r="F76" s="18">
        <v>90084</v>
      </c>
      <c r="G76" s="19" t="s">
        <v>1257</v>
      </c>
      <c r="H76" s="18">
        <v>1</v>
      </c>
      <c r="I76" s="18" t="s">
        <v>146</v>
      </c>
      <c r="J76" s="44"/>
      <c r="K76" s="56"/>
    </row>
    <row r="77" spans="1:11" ht="15.75" customHeight="1" x14ac:dyDescent="0.2">
      <c r="A77" s="18" t="s">
        <v>44</v>
      </c>
      <c r="B77" s="19" t="s">
        <v>1165</v>
      </c>
      <c r="C77" s="19" t="s">
        <v>1236</v>
      </c>
      <c r="D77" s="18" t="s">
        <v>1214</v>
      </c>
      <c r="E77" s="116"/>
      <c r="F77" s="18">
        <v>90085</v>
      </c>
      <c r="G77" s="19" t="s">
        <v>1258</v>
      </c>
      <c r="H77" s="18">
        <v>1</v>
      </c>
      <c r="I77" s="18" t="s">
        <v>146</v>
      </c>
      <c r="J77" s="44"/>
      <c r="K77" s="56"/>
    </row>
    <row r="78" spans="1:11" ht="15.75" customHeight="1" x14ac:dyDescent="0.2">
      <c r="A78" s="18" t="s">
        <v>44</v>
      </c>
      <c r="B78" s="19" t="s">
        <v>1165</v>
      </c>
      <c r="C78" s="19" t="s">
        <v>1236</v>
      </c>
      <c r="D78" s="18" t="s">
        <v>1214</v>
      </c>
      <c r="E78" s="116"/>
      <c r="F78" s="18">
        <v>90086</v>
      </c>
      <c r="G78" s="19" t="s">
        <v>1259</v>
      </c>
      <c r="H78" s="18">
        <v>1</v>
      </c>
      <c r="I78" s="18" t="s">
        <v>146</v>
      </c>
      <c r="J78" s="44"/>
      <c r="K78" s="56"/>
    </row>
    <row r="79" spans="1:11" ht="15.75" customHeight="1" x14ac:dyDescent="0.2">
      <c r="A79" s="18" t="s">
        <v>44</v>
      </c>
      <c r="B79" s="19" t="s">
        <v>1165</v>
      </c>
      <c r="C79" s="19" t="s">
        <v>1236</v>
      </c>
      <c r="D79" s="18" t="s">
        <v>1173</v>
      </c>
      <c r="E79" s="116"/>
      <c r="F79" s="18">
        <v>90087</v>
      </c>
      <c r="G79" s="19" t="s">
        <v>1260</v>
      </c>
      <c r="H79" s="18">
        <v>1</v>
      </c>
      <c r="I79" s="18" t="s">
        <v>146</v>
      </c>
      <c r="J79" s="44"/>
      <c r="K79" s="56"/>
    </row>
    <row r="80" spans="1:11" ht="15.75" customHeight="1" x14ac:dyDescent="0.2">
      <c r="A80" s="18" t="s">
        <v>44</v>
      </c>
      <c r="B80" s="19" t="s">
        <v>1165</v>
      </c>
      <c r="C80" s="19" t="s">
        <v>1236</v>
      </c>
      <c r="D80" s="18" t="s">
        <v>1173</v>
      </c>
      <c r="E80" s="116"/>
      <c r="F80" s="18">
        <v>90088</v>
      </c>
      <c r="G80" s="19" t="s">
        <v>1261</v>
      </c>
      <c r="H80" s="18">
        <v>1</v>
      </c>
      <c r="I80" s="18" t="s">
        <v>146</v>
      </c>
      <c r="J80" s="44"/>
      <c r="K80" s="56"/>
    </row>
    <row r="81" spans="1:11" ht="15.75" customHeight="1" x14ac:dyDescent="0.2">
      <c r="A81" s="18" t="s">
        <v>44</v>
      </c>
      <c r="B81" s="19" t="s">
        <v>1165</v>
      </c>
      <c r="C81" s="19" t="s">
        <v>1236</v>
      </c>
      <c r="D81" s="18" t="s">
        <v>1173</v>
      </c>
      <c r="E81" s="117"/>
      <c r="F81" s="18">
        <v>90089</v>
      </c>
      <c r="G81" s="19" t="s">
        <v>1262</v>
      </c>
      <c r="H81" s="18">
        <v>1</v>
      </c>
      <c r="I81" s="18" t="s">
        <v>146</v>
      </c>
      <c r="J81" s="44"/>
      <c r="K81" s="56"/>
    </row>
    <row r="82" spans="1:11" ht="15.75" customHeight="1" x14ac:dyDescent="0.2">
      <c r="A82" s="18" t="s">
        <v>44</v>
      </c>
      <c r="B82" s="19" t="s">
        <v>1165</v>
      </c>
      <c r="C82" s="19" t="s">
        <v>1236</v>
      </c>
      <c r="D82" s="18" t="s">
        <v>1214</v>
      </c>
      <c r="E82" s="115" t="e" vm="227">
        <v>#VALUE!</v>
      </c>
      <c r="F82" s="18">
        <v>90090</v>
      </c>
      <c r="G82" s="19" t="s">
        <v>1263</v>
      </c>
      <c r="H82" s="18">
        <v>1</v>
      </c>
      <c r="I82" s="18" t="s">
        <v>146</v>
      </c>
      <c r="J82" s="44"/>
      <c r="K82" s="56"/>
    </row>
    <row r="83" spans="1:11" ht="15.75" customHeight="1" x14ac:dyDescent="0.2">
      <c r="A83" s="18" t="s">
        <v>44</v>
      </c>
      <c r="B83" s="19" t="s">
        <v>1165</v>
      </c>
      <c r="C83" s="19" t="s">
        <v>1236</v>
      </c>
      <c r="D83" s="18" t="s">
        <v>1214</v>
      </c>
      <c r="E83" s="116"/>
      <c r="F83" s="18">
        <v>90091</v>
      </c>
      <c r="G83" s="19" t="s">
        <v>1264</v>
      </c>
      <c r="H83" s="18">
        <v>1</v>
      </c>
      <c r="I83" s="18" t="s">
        <v>146</v>
      </c>
      <c r="J83" s="44"/>
      <c r="K83" s="56"/>
    </row>
    <row r="84" spans="1:11" ht="15.75" customHeight="1" x14ac:dyDescent="0.2">
      <c r="A84" s="18" t="s">
        <v>44</v>
      </c>
      <c r="B84" s="19" t="s">
        <v>1165</v>
      </c>
      <c r="C84" s="19" t="s">
        <v>1236</v>
      </c>
      <c r="D84" s="18" t="s">
        <v>1173</v>
      </c>
      <c r="E84" s="116"/>
      <c r="F84" s="18">
        <v>90092</v>
      </c>
      <c r="G84" s="19" t="s">
        <v>1265</v>
      </c>
      <c r="H84" s="18">
        <v>1</v>
      </c>
      <c r="I84" s="18" t="s">
        <v>146</v>
      </c>
      <c r="J84" s="44"/>
      <c r="K84" s="56"/>
    </row>
    <row r="85" spans="1:11" ht="15.75" customHeight="1" x14ac:dyDescent="0.2">
      <c r="A85" s="18" t="s">
        <v>44</v>
      </c>
      <c r="B85" s="19" t="s">
        <v>1165</v>
      </c>
      <c r="C85" s="19" t="s">
        <v>1236</v>
      </c>
      <c r="D85" s="18" t="s">
        <v>1173</v>
      </c>
      <c r="E85" s="116"/>
      <c r="F85" s="18">
        <v>90093</v>
      </c>
      <c r="G85" s="19" t="s">
        <v>1266</v>
      </c>
      <c r="H85" s="18">
        <v>1</v>
      </c>
      <c r="I85" s="18" t="s">
        <v>146</v>
      </c>
      <c r="J85" s="44"/>
      <c r="K85" s="56"/>
    </row>
    <row r="86" spans="1:11" ht="15.75" customHeight="1" x14ac:dyDescent="0.2">
      <c r="A86" s="18" t="s">
        <v>44</v>
      </c>
      <c r="B86" s="19" t="s">
        <v>1165</v>
      </c>
      <c r="C86" s="19" t="s">
        <v>1236</v>
      </c>
      <c r="D86" s="18" t="s">
        <v>1173</v>
      </c>
      <c r="E86" s="116"/>
      <c r="F86" s="18">
        <v>90094</v>
      </c>
      <c r="G86" s="19" t="s">
        <v>1267</v>
      </c>
      <c r="H86" s="18">
        <v>1</v>
      </c>
      <c r="I86" s="18" t="s">
        <v>146</v>
      </c>
      <c r="J86" s="44"/>
      <c r="K86" s="56"/>
    </row>
    <row r="87" spans="1:11" ht="15.75" customHeight="1" x14ac:dyDescent="0.2">
      <c r="A87" s="18" t="s">
        <v>44</v>
      </c>
      <c r="B87" s="19" t="s">
        <v>1165</v>
      </c>
      <c r="C87" s="19" t="s">
        <v>1236</v>
      </c>
      <c r="D87" s="18" t="s">
        <v>1173</v>
      </c>
      <c r="E87" s="117"/>
      <c r="F87" s="18">
        <v>90095</v>
      </c>
      <c r="G87" s="19" t="s">
        <v>1268</v>
      </c>
      <c r="H87" s="18">
        <v>1</v>
      </c>
      <c r="I87" s="18" t="s">
        <v>146</v>
      </c>
      <c r="J87" s="44"/>
      <c r="K87" s="56"/>
    </row>
    <row r="88" spans="1:11" ht="15.75" customHeight="1" x14ac:dyDescent="0.2">
      <c r="A88" s="18" t="s">
        <v>44</v>
      </c>
      <c r="B88" s="19" t="s">
        <v>1165</v>
      </c>
      <c r="C88" s="19" t="s">
        <v>1236</v>
      </c>
      <c r="D88" s="18" t="s">
        <v>1214</v>
      </c>
      <c r="E88" s="106" t="e" vm="228">
        <v>#VALUE!</v>
      </c>
      <c r="F88" s="18">
        <v>90096</v>
      </c>
      <c r="G88" s="19" t="s">
        <v>1269</v>
      </c>
      <c r="H88" s="18">
        <v>1</v>
      </c>
      <c r="I88" s="18" t="s">
        <v>146</v>
      </c>
      <c r="J88" s="44"/>
      <c r="K88" s="56"/>
    </row>
    <row r="89" spans="1:11" ht="15.75" customHeight="1" x14ac:dyDescent="0.2">
      <c r="A89" s="18" t="s">
        <v>44</v>
      </c>
      <c r="B89" s="19" t="s">
        <v>1165</v>
      </c>
      <c r="C89" s="19" t="s">
        <v>1236</v>
      </c>
      <c r="D89" s="18" t="s">
        <v>1214</v>
      </c>
      <c r="E89" s="104"/>
      <c r="F89" s="18">
        <v>90097</v>
      </c>
      <c r="G89" s="19" t="s">
        <v>1270</v>
      </c>
      <c r="H89" s="18">
        <v>1</v>
      </c>
      <c r="I89" s="18" t="s">
        <v>146</v>
      </c>
      <c r="J89" s="44"/>
      <c r="K89" s="56"/>
    </row>
    <row r="90" spans="1:11" ht="15.75" customHeight="1" x14ac:dyDescent="0.2">
      <c r="A90" s="18" t="s">
        <v>44</v>
      </c>
      <c r="B90" s="19" t="s">
        <v>1165</v>
      </c>
      <c r="C90" s="19" t="s">
        <v>1236</v>
      </c>
      <c r="D90" s="18" t="s">
        <v>1173</v>
      </c>
      <c r="E90" s="105"/>
      <c r="F90" s="18">
        <v>90098</v>
      </c>
      <c r="G90" s="19" t="s">
        <v>1271</v>
      </c>
      <c r="H90" s="18">
        <v>1</v>
      </c>
      <c r="I90" s="18" t="s">
        <v>146</v>
      </c>
      <c r="J90" s="44"/>
      <c r="K90" s="56"/>
    </row>
    <row r="91" spans="1:11" ht="15.75" customHeight="1" x14ac:dyDescent="0.2">
      <c r="A91" s="18" t="s">
        <v>44</v>
      </c>
      <c r="B91" s="19" t="s">
        <v>1165</v>
      </c>
      <c r="C91" s="19" t="s">
        <v>1236</v>
      </c>
      <c r="D91" s="18" t="s">
        <v>1214</v>
      </c>
      <c r="E91" s="106" t="e" vm="229">
        <v>#VALUE!</v>
      </c>
      <c r="F91" s="18">
        <v>90099</v>
      </c>
      <c r="G91" s="19" t="s">
        <v>1272</v>
      </c>
      <c r="H91" s="18">
        <v>1</v>
      </c>
      <c r="I91" s="18" t="s">
        <v>146</v>
      </c>
      <c r="J91" s="44"/>
      <c r="K91" s="56"/>
    </row>
    <row r="92" spans="1:11" ht="15.75" customHeight="1" x14ac:dyDescent="0.2">
      <c r="A92" s="18" t="s">
        <v>44</v>
      </c>
      <c r="B92" s="19" t="s">
        <v>1165</v>
      </c>
      <c r="C92" s="19" t="s">
        <v>1236</v>
      </c>
      <c r="D92" s="18" t="s">
        <v>1214</v>
      </c>
      <c r="E92" s="104"/>
      <c r="F92" s="18">
        <v>90100</v>
      </c>
      <c r="G92" s="19" t="s">
        <v>1273</v>
      </c>
      <c r="H92" s="18">
        <v>1</v>
      </c>
      <c r="I92" s="18" t="s">
        <v>146</v>
      </c>
      <c r="J92" s="44"/>
      <c r="K92" s="56"/>
    </row>
    <row r="93" spans="1:11" ht="15.75" customHeight="1" x14ac:dyDescent="0.2">
      <c r="A93" s="18" t="s">
        <v>44</v>
      </c>
      <c r="B93" s="19" t="s">
        <v>1165</v>
      </c>
      <c r="C93" s="19" t="s">
        <v>1236</v>
      </c>
      <c r="D93" s="18" t="s">
        <v>1173</v>
      </c>
      <c r="E93" s="104"/>
      <c r="F93" s="18">
        <v>90101</v>
      </c>
      <c r="G93" s="19" t="s">
        <v>1255</v>
      </c>
      <c r="H93" s="18">
        <v>1</v>
      </c>
      <c r="I93" s="18" t="s">
        <v>146</v>
      </c>
      <c r="J93" s="44"/>
      <c r="K93" s="56"/>
    </row>
    <row r="94" spans="1:11" ht="15.75" customHeight="1" x14ac:dyDescent="0.2">
      <c r="A94" s="18" t="s">
        <v>44</v>
      </c>
      <c r="B94" s="19" t="s">
        <v>1165</v>
      </c>
      <c r="C94" s="19" t="s">
        <v>1236</v>
      </c>
      <c r="D94" s="18" t="s">
        <v>1173</v>
      </c>
      <c r="E94" s="105"/>
      <c r="F94" s="18">
        <v>90102</v>
      </c>
      <c r="G94" s="19" t="s">
        <v>1256</v>
      </c>
      <c r="H94" s="18">
        <v>1</v>
      </c>
      <c r="I94" s="18" t="s">
        <v>146</v>
      </c>
      <c r="J94" s="44"/>
      <c r="K94" s="56"/>
    </row>
    <row r="95" spans="1:11" ht="15.75" customHeight="1" x14ac:dyDescent="0.2">
      <c r="A95" s="18" t="s">
        <v>44</v>
      </c>
      <c r="B95" s="19" t="s">
        <v>1165</v>
      </c>
      <c r="C95" s="19" t="s">
        <v>1236</v>
      </c>
      <c r="D95" s="18" t="s">
        <v>1173</v>
      </c>
      <c r="E95" s="112" t="e" vm="230">
        <v>#VALUE!</v>
      </c>
      <c r="F95" s="18">
        <v>90103</v>
      </c>
      <c r="G95" s="19" t="s">
        <v>1274</v>
      </c>
      <c r="H95" s="18">
        <v>1</v>
      </c>
      <c r="I95" s="18" t="s">
        <v>146</v>
      </c>
      <c r="J95" s="44"/>
      <c r="K95" s="56"/>
    </row>
    <row r="96" spans="1:11" ht="15.75" customHeight="1" x14ac:dyDescent="0.2">
      <c r="A96" s="18" t="s">
        <v>44</v>
      </c>
      <c r="B96" s="19" t="s">
        <v>1165</v>
      </c>
      <c r="C96" s="19" t="s">
        <v>1236</v>
      </c>
      <c r="D96" s="18" t="s">
        <v>1214</v>
      </c>
      <c r="E96" s="109"/>
      <c r="F96" s="18">
        <v>90104</v>
      </c>
      <c r="G96" s="19" t="s">
        <v>1275</v>
      </c>
      <c r="H96" s="18">
        <v>1</v>
      </c>
      <c r="I96" s="18" t="s">
        <v>146</v>
      </c>
      <c r="J96" s="44"/>
      <c r="K96" s="56"/>
    </row>
    <row r="97" spans="1:11" ht="15.75" customHeight="1" x14ac:dyDescent="0.2">
      <c r="A97" s="18" t="s">
        <v>44</v>
      </c>
      <c r="B97" s="19" t="s">
        <v>1165</v>
      </c>
      <c r="C97" s="19" t="s">
        <v>1236</v>
      </c>
      <c r="D97" s="18" t="s">
        <v>1214</v>
      </c>
      <c r="E97" s="109"/>
      <c r="F97" s="18">
        <v>90105</v>
      </c>
      <c r="G97" s="19" t="s">
        <v>1276</v>
      </c>
      <c r="H97" s="18">
        <v>1</v>
      </c>
      <c r="I97" s="18" t="s">
        <v>146</v>
      </c>
      <c r="J97" s="44"/>
      <c r="K97" s="56"/>
    </row>
    <row r="98" spans="1:11" ht="15.75" customHeight="1" x14ac:dyDescent="0.2">
      <c r="A98" s="18" t="s">
        <v>44</v>
      </c>
      <c r="B98" s="19" t="s">
        <v>1165</v>
      </c>
      <c r="C98" s="19" t="s">
        <v>1236</v>
      </c>
      <c r="D98" s="18" t="s">
        <v>1214</v>
      </c>
      <c r="E98" s="109"/>
      <c r="F98" s="18">
        <v>90106</v>
      </c>
      <c r="G98" s="19" t="s">
        <v>1277</v>
      </c>
      <c r="H98" s="18">
        <v>1</v>
      </c>
      <c r="I98" s="18" t="s">
        <v>146</v>
      </c>
      <c r="J98" s="44"/>
      <c r="K98" s="56"/>
    </row>
    <row r="99" spans="1:11" ht="15.75" customHeight="1" x14ac:dyDescent="0.2">
      <c r="A99" s="18" t="s">
        <v>44</v>
      </c>
      <c r="B99" s="19" t="s">
        <v>1165</v>
      </c>
      <c r="C99" s="19" t="s">
        <v>1236</v>
      </c>
      <c r="D99" s="18" t="s">
        <v>1214</v>
      </c>
      <c r="E99" s="109"/>
      <c r="F99" s="18">
        <v>90107</v>
      </c>
      <c r="G99" s="19" t="s">
        <v>1278</v>
      </c>
      <c r="H99" s="18">
        <v>1</v>
      </c>
      <c r="I99" s="18" t="s">
        <v>146</v>
      </c>
      <c r="J99" s="44"/>
      <c r="K99" s="56"/>
    </row>
    <row r="100" spans="1:11" ht="15.75" customHeight="1" x14ac:dyDescent="0.2">
      <c r="A100" s="18" t="s">
        <v>44</v>
      </c>
      <c r="B100" s="19" t="s">
        <v>1165</v>
      </c>
      <c r="C100" s="19" t="s">
        <v>1236</v>
      </c>
      <c r="D100" s="18" t="s">
        <v>1173</v>
      </c>
      <c r="E100" s="109"/>
      <c r="F100" s="18">
        <v>90108</v>
      </c>
      <c r="G100" s="19" t="s">
        <v>1279</v>
      </c>
      <c r="H100" s="18">
        <v>1</v>
      </c>
      <c r="I100" s="18" t="s">
        <v>146</v>
      </c>
      <c r="J100" s="44"/>
      <c r="K100" s="56"/>
    </row>
    <row r="101" spans="1:11" ht="15.75" customHeight="1" x14ac:dyDescent="0.2">
      <c r="A101" s="18" t="s">
        <v>44</v>
      </c>
      <c r="B101" s="19" t="s">
        <v>1165</v>
      </c>
      <c r="C101" s="19" t="s">
        <v>1236</v>
      </c>
      <c r="D101" s="18" t="s">
        <v>1173</v>
      </c>
      <c r="E101" s="109"/>
      <c r="F101" s="18">
        <v>90109</v>
      </c>
      <c r="G101" s="19" t="s">
        <v>1280</v>
      </c>
      <c r="H101" s="18">
        <v>1</v>
      </c>
      <c r="I101" s="18" t="s">
        <v>146</v>
      </c>
      <c r="J101" s="44"/>
      <c r="K101" s="56"/>
    </row>
    <row r="102" spans="1:11" ht="15.75" customHeight="1" x14ac:dyDescent="0.2">
      <c r="A102" s="18" t="s">
        <v>44</v>
      </c>
      <c r="B102" s="19" t="s">
        <v>1165</v>
      </c>
      <c r="C102" s="19" t="s">
        <v>1236</v>
      </c>
      <c r="D102" s="18" t="s">
        <v>1173</v>
      </c>
      <c r="E102" s="109"/>
      <c r="F102" s="18">
        <v>90110</v>
      </c>
      <c r="G102" s="19" t="s">
        <v>1281</v>
      </c>
      <c r="H102" s="18">
        <v>1</v>
      </c>
      <c r="I102" s="18" t="s">
        <v>146</v>
      </c>
      <c r="J102" s="44"/>
      <c r="K102" s="56"/>
    </row>
    <row r="103" spans="1:11" ht="15.75" customHeight="1" x14ac:dyDescent="0.2">
      <c r="A103" s="18" t="s">
        <v>44</v>
      </c>
      <c r="B103" s="19" t="s">
        <v>1165</v>
      </c>
      <c r="C103" s="19" t="s">
        <v>1236</v>
      </c>
      <c r="D103" s="18" t="s">
        <v>1173</v>
      </c>
      <c r="E103" s="109"/>
      <c r="F103" s="18">
        <v>90111</v>
      </c>
      <c r="G103" s="19" t="s">
        <v>1282</v>
      </c>
      <c r="H103" s="18">
        <v>1</v>
      </c>
      <c r="I103" s="18" t="s">
        <v>146</v>
      </c>
      <c r="J103" s="44"/>
      <c r="K103" s="56"/>
    </row>
    <row r="104" spans="1:11" ht="15.75" customHeight="1" x14ac:dyDescent="0.2">
      <c r="A104" s="18" t="s">
        <v>44</v>
      </c>
      <c r="B104" s="19" t="s">
        <v>1165</v>
      </c>
      <c r="C104" s="19" t="s">
        <v>1236</v>
      </c>
      <c r="D104" s="18" t="s">
        <v>1173</v>
      </c>
      <c r="E104" s="109"/>
      <c r="F104" s="18">
        <v>90112</v>
      </c>
      <c r="G104" s="19" t="s">
        <v>1283</v>
      </c>
      <c r="H104" s="18">
        <v>1</v>
      </c>
      <c r="I104" s="18" t="s">
        <v>146</v>
      </c>
      <c r="J104" s="44"/>
      <c r="K104" s="56"/>
    </row>
    <row r="105" spans="1:11" ht="15.75" customHeight="1" x14ac:dyDescent="0.2">
      <c r="A105" s="18" t="s">
        <v>44</v>
      </c>
      <c r="B105" s="19" t="s">
        <v>1165</v>
      </c>
      <c r="C105" s="19" t="s">
        <v>1236</v>
      </c>
      <c r="D105" s="18" t="s">
        <v>1167</v>
      </c>
      <c r="E105" s="109"/>
      <c r="F105" s="18">
        <v>90113</v>
      </c>
      <c r="G105" s="19" t="s">
        <v>1284</v>
      </c>
      <c r="H105" s="18">
        <v>1</v>
      </c>
      <c r="I105" s="18" t="s">
        <v>146</v>
      </c>
      <c r="J105" s="44"/>
      <c r="K105" s="56"/>
    </row>
    <row r="106" spans="1:11" ht="15.75" customHeight="1" x14ac:dyDescent="0.2">
      <c r="A106" s="18" t="s">
        <v>44</v>
      </c>
      <c r="B106" s="19" t="s">
        <v>1165</v>
      </c>
      <c r="C106" s="19" t="s">
        <v>1236</v>
      </c>
      <c r="D106" s="18" t="s">
        <v>1214</v>
      </c>
      <c r="E106" s="115" t="e" vm="231">
        <v>#VALUE!</v>
      </c>
      <c r="F106" s="18">
        <v>90114</v>
      </c>
      <c r="G106" s="19" t="s">
        <v>1285</v>
      </c>
      <c r="H106" s="18">
        <v>1</v>
      </c>
      <c r="I106" s="18" t="s">
        <v>146</v>
      </c>
      <c r="J106" s="44"/>
      <c r="K106" s="56"/>
    </row>
    <row r="107" spans="1:11" ht="15.75" customHeight="1" x14ac:dyDescent="0.2">
      <c r="A107" s="18" t="s">
        <v>44</v>
      </c>
      <c r="B107" s="19" t="s">
        <v>1165</v>
      </c>
      <c r="C107" s="19" t="s">
        <v>1236</v>
      </c>
      <c r="D107" s="18" t="s">
        <v>1173</v>
      </c>
      <c r="E107" s="116"/>
      <c r="F107" s="18">
        <v>90115</v>
      </c>
      <c r="G107" s="19" t="s">
        <v>1286</v>
      </c>
      <c r="H107" s="18">
        <v>1</v>
      </c>
      <c r="I107" s="18" t="s">
        <v>146</v>
      </c>
      <c r="J107" s="44"/>
      <c r="K107" s="56"/>
    </row>
    <row r="108" spans="1:11" ht="15.75" customHeight="1" x14ac:dyDescent="0.2">
      <c r="A108" s="18" t="s">
        <v>44</v>
      </c>
      <c r="B108" s="19" t="s">
        <v>1165</v>
      </c>
      <c r="C108" s="19" t="s">
        <v>1236</v>
      </c>
      <c r="D108" s="18" t="s">
        <v>1173</v>
      </c>
      <c r="E108" s="116"/>
      <c r="F108" s="18">
        <v>90116</v>
      </c>
      <c r="G108" s="19" t="s">
        <v>1287</v>
      </c>
      <c r="H108" s="18">
        <v>1</v>
      </c>
      <c r="I108" s="18" t="s">
        <v>146</v>
      </c>
      <c r="J108" s="44"/>
      <c r="K108" s="56"/>
    </row>
    <row r="109" spans="1:11" ht="15.75" customHeight="1" x14ac:dyDescent="0.2">
      <c r="A109" s="18" t="s">
        <v>44</v>
      </c>
      <c r="B109" s="19" t="s">
        <v>1165</v>
      </c>
      <c r="C109" s="19" t="s">
        <v>1236</v>
      </c>
      <c r="D109" s="18" t="s">
        <v>1173</v>
      </c>
      <c r="E109" s="116"/>
      <c r="F109" s="18">
        <v>90117</v>
      </c>
      <c r="G109" s="19" t="s">
        <v>1288</v>
      </c>
      <c r="H109" s="18">
        <v>1</v>
      </c>
      <c r="I109" s="18" t="s">
        <v>146</v>
      </c>
      <c r="J109" s="44"/>
      <c r="K109" s="56"/>
    </row>
    <row r="110" spans="1:11" ht="15.75" customHeight="1" x14ac:dyDescent="0.2">
      <c r="A110" s="18" t="s">
        <v>44</v>
      </c>
      <c r="B110" s="19" t="s">
        <v>1165</v>
      </c>
      <c r="C110" s="19" t="s">
        <v>1236</v>
      </c>
      <c r="D110" s="18" t="s">
        <v>1173</v>
      </c>
      <c r="E110" s="116"/>
      <c r="F110" s="18">
        <v>90118</v>
      </c>
      <c r="G110" s="19" t="s">
        <v>1289</v>
      </c>
      <c r="H110" s="18">
        <v>1</v>
      </c>
      <c r="I110" s="18" t="s">
        <v>146</v>
      </c>
      <c r="J110" s="44"/>
      <c r="K110" s="56"/>
    </row>
    <row r="111" spans="1:11" ht="15.75" customHeight="1" x14ac:dyDescent="0.2">
      <c r="A111" s="18" t="s">
        <v>44</v>
      </c>
      <c r="B111" s="19" t="s">
        <v>1165</v>
      </c>
      <c r="C111" s="19" t="s">
        <v>1236</v>
      </c>
      <c r="D111" s="18" t="s">
        <v>1173</v>
      </c>
      <c r="E111" s="116"/>
      <c r="F111" s="18">
        <v>90119</v>
      </c>
      <c r="G111" s="19" t="s">
        <v>1290</v>
      </c>
      <c r="H111" s="18">
        <v>1</v>
      </c>
      <c r="I111" s="18" t="s">
        <v>146</v>
      </c>
      <c r="J111" s="44"/>
      <c r="K111" s="56"/>
    </row>
    <row r="112" spans="1:11" ht="15.75" customHeight="1" x14ac:dyDescent="0.2">
      <c r="A112" s="18" t="s">
        <v>44</v>
      </c>
      <c r="B112" s="19" t="s">
        <v>1165</v>
      </c>
      <c r="C112" s="19" t="s">
        <v>1236</v>
      </c>
      <c r="D112" s="18" t="s">
        <v>1167</v>
      </c>
      <c r="E112" s="117"/>
      <c r="F112" s="18">
        <v>90120</v>
      </c>
      <c r="G112" s="19" t="s">
        <v>1291</v>
      </c>
      <c r="H112" s="18">
        <v>1</v>
      </c>
      <c r="I112" s="18" t="s">
        <v>146</v>
      </c>
      <c r="J112" s="44"/>
      <c r="K112" s="56"/>
    </row>
    <row r="113" spans="1:11" ht="15.75" customHeight="1" x14ac:dyDescent="0.2">
      <c r="A113" s="18" t="s">
        <v>44</v>
      </c>
      <c r="B113" s="19" t="s">
        <v>1165</v>
      </c>
      <c r="C113" s="19" t="s">
        <v>1236</v>
      </c>
      <c r="D113" s="18" t="s">
        <v>1178</v>
      </c>
      <c r="E113" s="115" t="e" vm="232">
        <v>#VALUE!</v>
      </c>
      <c r="F113" s="18">
        <v>90126</v>
      </c>
      <c r="G113" s="19" t="s">
        <v>1292</v>
      </c>
      <c r="H113" s="18">
        <v>1</v>
      </c>
      <c r="I113" s="18" t="s">
        <v>146</v>
      </c>
      <c r="J113" s="44"/>
      <c r="K113" s="56"/>
    </row>
    <row r="114" spans="1:11" ht="15.75" customHeight="1" x14ac:dyDescent="0.2">
      <c r="A114" s="18" t="s">
        <v>44</v>
      </c>
      <c r="B114" s="19" t="s">
        <v>1165</v>
      </c>
      <c r="C114" s="19" t="s">
        <v>1236</v>
      </c>
      <c r="D114" s="18" t="s">
        <v>1178</v>
      </c>
      <c r="E114" s="116"/>
      <c r="F114" s="18">
        <v>90127</v>
      </c>
      <c r="G114" s="19" t="s">
        <v>1293</v>
      </c>
      <c r="H114" s="18">
        <v>1</v>
      </c>
      <c r="I114" s="18" t="s">
        <v>146</v>
      </c>
      <c r="J114" s="44"/>
      <c r="K114" s="56"/>
    </row>
    <row r="115" spans="1:11" ht="15.75" customHeight="1" x14ac:dyDescent="0.2">
      <c r="A115" s="18" t="s">
        <v>44</v>
      </c>
      <c r="B115" s="19" t="s">
        <v>1165</v>
      </c>
      <c r="C115" s="19" t="s">
        <v>1236</v>
      </c>
      <c r="D115" s="18" t="s">
        <v>1178</v>
      </c>
      <c r="E115" s="116"/>
      <c r="F115" s="18">
        <v>90128</v>
      </c>
      <c r="G115" s="19" t="s">
        <v>1294</v>
      </c>
      <c r="H115" s="18">
        <v>1</v>
      </c>
      <c r="I115" s="18" t="s">
        <v>146</v>
      </c>
      <c r="J115" s="44"/>
      <c r="K115" s="56"/>
    </row>
    <row r="116" spans="1:11" ht="15.75" customHeight="1" x14ac:dyDescent="0.2">
      <c r="A116" s="18" t="s">
        <v>44</v>
      </c>
      <c r="B116" s="19" t="s">
        <v>1165</v>
      </c>
      <c r="C116" s="19" t="s">
        <v>1236</v>
      </c>
      <c r="D116" s="18" t="s">
        <v>1178</v>
      </c>
      <c r="E116" s="116"/>
      <c r="F116" s="18">
        <v>90129</v>
      </c>
      <c r="G116" s="19" t="s">
        <v>1295</v>
      </c>
      <c r="H116" s="18">
        <v>1</v>
      </c>
      <c r="I116" s="18" t="s">
        <v>146</v>
      </c>
      <c r="J116" s="44"/>
      <c r="K116" s="56"/>
    </row>
    <row r="117" spans="1:11" ht="15.75" customHeight="1" x14ac:dyDescent="0.2">
      <c r="A117" s="18" t="s">
        <v>44</v>
      </c>
      <c r="B117" s="19" t="s">
        <v>1165</v>
      </c>
      <c r="C117" s="19" t="s">
        <v>1236</v>
      </c>
      <c r="D117" s="18" t="s">
        <v>1178</v>
      </c>
      <c r="E117" s="116"/>
      <c r="F117" s="18">
        <v>90130</v>
      </c>
      <c r="G117" s="19" t="s">
        <v>1296</v>
      </c>
      <c r="H117" s="18">
        <v>1</v>
      </c>
      <c r="I117" s="18" t="s">
        <v>146</v>
      </c>
      <c r="J117" s="44"/>
      <c r="K117" s="56"/>
    </row>
    <row r="118" spans="1:11" ht="15.75" customHeight="1" x14ac:dyDescent="0.2">
      <c r="A118" s="18" t="s">
        <v>44</v>
      </c>
      <c r="B118" s="19" t="s">
        <v>1165</v>
      </c>
      <c r="C118" s="19" t="s">
        <v>1236</v>
      </c>
      <c r="D118" s="18" t="s">
        <v>1178</v>
      </c>
      <c r="E118" s="116"/>
      <c r="F118" s="18">
        <v>90131</v>
      </c>
      <c r="G118" s="19" t="s">
        <v>1297</v>
      </c>
      <c r="H118" s="18">
        <v>1</v>
      </c>
      <c r="I118" s="18" t="s">
        <v>146</v>
      </c>
      <c r="J118" s="44"/>
      <c r="K118" s="56"/>
    </row>
    <row r="119" spans="1:11" ht="15.75" customHeight="1" x14ac:dyDescent="0.2">
      <c r="A119" s="18" t="s">
        <v>44</v>
      </c>
      <c r="B119" s="19" t="s">
        <v>1165</v>
      </c>
      <c r="C119" s="19" t="s">
        <v>1236</v>
      </c>
      <c r="D119" s="18" t="s">
        <v>1214</v>
      </c>
      <c r="E119" s="116"/>
      <c r="F119" s="18">
        <v>90132</v>
      </c>
      <c r="G119" s="19" t="s">
        <v>1298</v>
      </c>
      <c r="H119" s="18">
        <v>1</v>
      </c>
      <c r="I119" s="18" t="s">
        <v>146</v>
      </c>
      <c r="J119" s="44"/>
      <c r="K119" s="56"/>
    </row>
    <row r="120" spans="1:11" ht="15.75" customHeight="1" x14ac:dyDescent="0.2">
      <c r="A120" s="18" t="s">
        <v>44</v>
      </c>
      <c r="B120" s="19" t="s">
        <v>1165</v>
      </c>
      <c r="C120" s="19" t="s">
        <v>1236</v>
      </c>
      <c r="D120" s="18" t="s">
        <v>1214</v>
      </c>
      <c r="E120" s="116"/>
      <c r="F120" s="18">
        <v>90133</v>
      </c>
      <c r="G120" s="19" t="s">
        <v>1299</v>
      </c>
      <c r="H120" s="18">
        <v>1</v>
      </c>
      <c r="I120" s="18" t="s">
        <v>146</v>
      </c>
      <c r="J120" s="44"/>
      <c r="K120" s="56"/>
    </row>
    <row r="121" spans="1:11" ht="15.75" customHeight="1" x14ac:dyDescent="0.2">
      <c r="A121" s="18" t="s">
        <v>44</v>
      </c>
      <c r="B121" s="19" t="s">
        <v>1165</v>
      </c>
      <c r="C121" s="19" t="s">
        <v>1236</v>
      </c>
      <c r="D121" s="18" t="s">
        <v>1214</v>
      </c>
      <c r="E121" s="116"/>
      <c r="F121" s="18">
        <v>90134</v>
      </c>
      <c r="G121" s="19" t="s">
        <v>1300</v>
      </c>
      <c r="H121" s="18">
        <v>1</v>
      </c>
      <c r="I121" s="18" t="s">
        <v>146</v>
      </c>
      <c r="J121" s="44"/>
      <c r="K121" s="56"/>
    </row>
    <row r="122" spans="1:11" ht="15.75" customHeight="1" x14ac:dyDescent="0.2">
      <c r="A122" s="18" t="s">
        <v>44</v>
      </c>
      <c r="B122" s="19" t="s">
        <v>1165</v>
      </c>
      <c r="C122" s="19" t="s">
        <v>1236</v>
      </c>
      <c r="D122" s="18" t="s">
        <v>1173</v>
      </c>
      <c r="E122" s="117"/>
      <c r="F122" s="18">
        <v>90135</v>
      </c>
      <c r="G122" s="19" t="s">
        <v>1301</v>
      </c>
      <c r="H122" s="18">
        <v>1</v>
      </c>
      <c r="I122" s="18" t="s">
        <v>146</v>
      </c>
      <c r="J122" s="44"/>
      <c r="K122" s="56"/>
    </row>
    <row r="123" spans="1:11" ht="15.75" customHeight="1" x14ac:dyDescent="0.2">
      <c r="A123" s="18" t="s">
        <v>44</v>
      </c>
      <c r="B123" s="19" t="s">
        <v>1165</v>
      </c>
      <c r="C123" s="19" t="s">
        <v>1236</v>
      </c>
      <c r="D123" s="18" t="s">
        <v>1178</v>
      </c>
      <c r="E123" s="106" t="e" vm="233">
        <v>#VALUE!</v>
      </c>
      <c r="F123" s="18">
        <v>90136</v>
      </c>
      <c r="G123" s="19" t="s">
        <v>1302</v>
      </c>
      <c r="H123" s="18">
        <v>1</v>
      </c>
      <c r="I123" s="18" t="s">
        <v>146</v>
      </c>
      <c r="J123" s="44"/>
      <c r="K123" s="56"/>
    </row>
    <row r="124" spans="1:11" ht="15.75" customHeight="1" x14ac:dyDescent="0.2">
      <c r="A124" s="18" t="s">
        <v>44</v>
      </c>
      <c r="B124" s="19" t="s">
        <v>1165</v>
      </c>
      <c r="C124" s="19" t="s">
        <v>1236</v>
      </c>
      <c r="D124" s="18" t="s">
        <v>1178</v>
      </c>
      <c r="E124" s="104"/>
      <c r="F124" s="18">
        <v>90137</v>
      </c>
      <c r="G124" s="19" t="s">
        <v>1303</v>
      </c>
      <c r="H124" s="18">
        <v>1</v>
      </c>
      <c r="I124" s="18" t="s">
        <v>146</v>
      </c>
      <c r="J124" s="44"/>
      <c r="K124" s="56"/>
    </row>
    <row r="125" spans="1:11" ht="15.75" customHeight="1" x14ac:dyDescent="0.2">
      <c r="A125" s="18" t="s">
        <v>44</v>
      </c>
      <c r="B125" s="19" t="s">
        <v>1165</v>
      </c>
      <c r="C125" s="19" t="s">
        <v>1236</v>
      </c>
      <c r="D125" s="18" t="s">
        <v>1178</v>
      </c>
      <c r="E125" s="104"/>
      <c r="F125" s="18">
        <v>90138</v>
      </c>
      <c r="G125" s="19" t="s">
        <v>1304</v>
      </c>
      <c r="H125" s="18">
        <v>1</v>
      </c>
      <c r="I125" s="18" t="s">
        <v>146</v>
      </c>
      <c r="J125" s="44"/>
      <c r="K125" s="56"/>
    </row>
    <row r="126" spans="1:11" ht="15.75" customHeight="1" x14ac:dyDescent="0.2">
      <c r="A126" s="18" t="s">
        <v>44</v>
      </c>
      <c r="B126" s="19" t="s">
        <v>1165</v>
      </c>
      <c r="C126" s="19" t="s">
        <v>1236</v>
      </c>
      <c r="D126" s="18" t="s">
        <v>1178</v>
      </c>
      <c r="E126" s="104"/>
      <c r="F126" s="18">
        <v>90139</v>
      </c>
      <c r="G126" s="19" t="s">
        <v>1305</v>
      </c>
      <c r="H126" s="18">
        <v>1</v>
      </c>
      <c r="I126" s="18" t="s">
        <v>146</v>
      </c>
      <c r="J126" s="44"/>
      <c r="K126" s="56"/>
    </row>
    <row r="127" spans="1:11" ht="15.75" customHeight="1" x14ac:dyDescent="0.2">
      <c r="A127" s="18" t="s">
        <v>44</v>
      </c>
      <c r="B127" s="19" t="s">
        <v>1165</v>
      </c>
      <c r="C127" s="19" t="s">
        <v>1236</v>
      </c>
      <c r="D127" s="18" t="s">
        <v>1178</v>
      </c>
      <c r="E127" s="104"/>
      <c r="F127" s="18">
        <v>90140</v>
      </c>
      <c r="G127" s="19" t="s">
        <v>1306</v>
      </c>
      <c r="H127" s="18">
        <v>1</v>
      </c>
      <c r="I127" s="18" t="s">
        <v>146</v>
      </c>
      <c r="J127" s="44"/>
      <c r="K127" s="56"/>
    </row>
    <row r="128" spans="1:11" ht="15.75" customHeight="1" x14ac:dyDescent="0.2">
      <c r="A128" s="18" t="s">
        <v>44</v>
      </c>
      <c r="B128" s="19" t="s">
        <v>1165</v>
      </c>
      <c r="C128" s="19" t="s">
        <v>1236</v>
      </c>
      <c r="D128" s="18" t="s">
        <v>1178</v>
      </c>
      <c r="E128" s="104"/>
      <c r="F128" s="18">
        <v>90141</v>
      </c>
      <c r="G128" s="19" t="s">
        <v>1307</v>
      </c>
      <c r="H128" s="18">
        <v>1</v>
      </c>
      <c r="I128" s="18" t="s">
        <v>146</v>
      </c>
      <c r="J128" s="44"/>
      <c r="K128" s="56"/>
    </row>
    <row r="129" spans="1:11" ht="15.75" customHeight="1" x14ac:dyDescent="0.2">
      <c r="A129" s="18" t="s">
        <v>44</v>
      </c>
      <c r="B129" s="19" t="s">
        <v>1165</v>
      </c>
      <c r="C129" s="19" t="s">
        <v>1236</v>
      </c>
      <c r="D129" s="18" t="s">
        <v>1214</v>
      </c>
      <c r="E129" s="104"/>
      <c r="F129" s="18">
        <v>90142</v>
      </c>
      <c r="G129" s="19" t="s">
        <v>1308</v>
      </c>
      <c r="H129" s="18">
        <v>1</v>
      </c>
      <c r="I129" s="18" t="s">
        <v>146</v>
      </c>
      <c r="J129" s="44"/>
      <c r="K129" s="56"/>
    </row>
    <row r="130" spans="1:11" ht="15.75" customHeight="1" x14ac:dyDescent="0.2">
      <c r="A130" s="18" t="s">
        <v>44</v>
      </c>
      <c r="B130" s="19" t="s">
        <v>1165</v>
      </c>
      <c r="C130" s="19" t="s">
        <v>1236</v>
      </c>
      <c r="D130" s="18" t="s">
        <v>1214</v>
      </c>
      <c r="E130" s="104"/>
      <c r="F130" s="18">
        <v>90143</v>
      </c>
      <c r="G130" s="19" t="s">
        <v>1309</v>
      </c>
      <c r="H130" s="18">
        <v>1</v>
      </c>
      <c r="I130" s="18" t="s">
        <v>146</v>
      </c>
      <c r="J130" s="44"/>
      <c r="K130" s="56"/>
    </row>
    <row r="131" spans="1:11" ht="15.75" customHeight="1" x14ac:dyDescent="0.2">
      <c r="A131" s="18" t="s">
        <v>44</v>
      </c>
      <c r="B131" s="19" t="s">
        <v>1165</v>
      </c>
      <c r="C131" s="19" t="s">
        <v>1236</v>
      </c>
      <c r="D131" s="18" t="s">
        <v>1214</v>
      </c>
      <c r="E131" s="104"/>
      <c r="F131" s="18">
        <v>90144</v>
      </c>
      <c r="G131" s="19" t="s">
        <v>1310</v>
      </c>
      <c r="H131" s="18">
        <v>1</v>
      </c>
      <c r="I131" s="18" t="s">
        <v>146</v>
      </c>
      <c r="J131" s="44"/>
      <c r="K131" s="56"/>
    </row>
    <row r="132" spans="1:11" ht="15.75" customHeight="1" x14ac:dyDescent="0.2">
      <c r="A132" s="18" t="s">
        <v>44</v>
      </c>
      <c r="B132" s="19" t="s">
        <v>1165</v>
      </c>
      <c r="C132" s="19" t="s">
        <v>1236</v>
      </c>
      <c r="D132" s="18" t="s">
        <v>1173</v>
      </c>
      <c r="E132" s="105"/>
      <c r="F132" s="18">
        <v>90145</v>
      </c>
      <c r="G132" s="19" t="s">
        <v>1311</v>
      </c>
      <c r="H132" s="18">
        <v>1</v>
      </c>
      <c r="I132" s="18" t="s">
        <v>146</v>
      </c>
      <c r="J132" s="44"/>
      <c r="K132" s="56"/>
    </row>
    <row r="133" spans="1:11" ht="15.75" customHeight="1" x14ac:dyDescent="0.2">
      <c r="A133" s="18" t="s">
        <v>44</v>
      </c>
      <c r="B133" s="19" t="s">
        <v>1165</v>
      </c>
      <c r="C133" s="19" t="s">
        <v>1236</v>
      </c>
      <c r="D133" s="18" t="s">
        <v>1178</v>
      </c>
      <c r="E133" s="106" t="e" vm="234">
        <v>#VALUE!</v>
      </c>
      <c r="F133" s="18">
        <v>90146</v>
      </c>
      <c r="G133" s="19" t="s">
        <v>1312</v>
      </c>
      <c r="H133" s="18">
        <v>1</v>
      </c>
      <c r="I133" s="18" t="s">
        <v>146</v>
      </c>
      <c r="J133" s="44"/>
      <c r="K133" s="56"/>
    </row>
    <row r="134" spans="1:11" ht="15.75" customHeight="1" x14ac:dyDescent="0.2">
      <c r="A134" s="18" t="s">
        <v>44</v>
      </c>
      <c r="B134" s="19" t="s">
        <v>1165</v>
      </c>
      <c r="C134" s="19" t="s">
        <v>1236</v>
      </c>
      <c r="D134" s="18" t="s">
        <v>1214</v>
      </c>
      <c r="E134" s="105"/>
      <c r="F134" s="18">
        <v>90147</v>
      </c>
      <c r="G134" s="19" t="s">
        <v>1313</v>
      </c>
      <c r="H134" s="18">
        <v>1</v>
      </c>
      <c r="I134" s="18" t="s">
        <v>146</v>
      </c>
      <c r="J134" s="44"/>
      <c r="K134" s="56"/>
    </row>
    <row r="135" spans="1:11" ht="15.75" customHeight="1" x14ac:dyDescent="0.2">
      <c r="A135" s="18" t="s">
        <v>44</v>
      </c>
      <c r="B135" s="19" t="s">
        <v>1165</v>
      </c>
      <c r="C135" s="19" t="s">
        <v>1236</v>
      </c>
      <c r="D135" s="18" t="s">
        <v>1178</v>
      </c>
      <c r="E135" s="106" t="e" vm="235">
        <v>#VALUE!</v>
      </c>
      <c r="F135" s="18">
        <v>90148</v>
      </c>
      <c r="G135" s="19" t="s">
        <v>1314</v>
      </c>
      <c r="H135" s="18">
        <v>1</v>
      </c>
      <c r="I135" s="18" t="s">
        <v>146</v>
      </c>
      <c r="J135" s="44"/>
      <c r="K135" s="56"/>
    </row>
    <row r="136" spans="1:11" ht="15.75" customHeight="1" x14ac:dyDescent="0.2">
      <c r="A136" s="18" t="s">
        <v>44</v>
      </c>
      <c r="B136" s="19" t="s">
        <v>1165</v>
      </c>
      <c r="C136" s="19" t="s">
        <v>1236</v>
      </c>
      <c r="D136" s="18" t="s">
        <v>1178</v>
      </c>
      <c r="E136" s="105"/>
      <c r="F136" s="18">
        <v>90149</v>
      </c>
      <c r="G136" s="19" t="s">
        <v>1315</v>
      </c>
      <c r="H136" s="18">
        <v>1</v>
      </c>
      <c r="I136" s="18" t="s">
        <v>146</v>
      </c>
      <c r="J136" s="44"/>
      <c r="K136" s="56"/>
    </row>
    <row r="137" spans="1:11" ht="15.75" customHeight="1" x14ac:dyDescent="0.2">
      <c r="A137" s="18" t="s">
        <v>44</v>
      </c>
      <c r="B137" s="19" t="s">
        <v>1165</v>
      </c>
      <c r="C137" s="19" t="s">
        <v>1236</v>
      </c>
      <c r="D137" s="18" t="s">
        <v>1167</v>
      </c>
      <c r="E137" s="106" t="e" vm="236">
        <v>#VALUE!</v>
      </c>
      <c r="F137" s="18">
        <v>90150</v>
      </c>
      <c r="G137" s="19" t="s">
        <v>1316</v>
      </c>
      <c r="H137" s="18">
        <v>1</v>
      </c>
      <c r="I137" s="18" t="s">
        <v>146</v>
      </c>
      <c r="J137" s="44"/>
      <c r="K137" s="56"/>
    </row>
    <row r="138" spans="1:11" ht="15.75" customHeight="1" x14ac:dyDescent="0.2">
      <c r="A138" s="18" t="s">
        <v>44</v>
      </c>
      <c r="B138" s="19" t="s">
        <v>1165</v>
      </c>
      <c r="C138" s="19" t="s">
        <v>1236</v>
      </c>
      <c r="D138" s="18" t="s">
        <v>1169</v>
      </c>
      <c r="E138" s="104"/>
      <c r="F138" s="18">
        <v>90151</v>
      </c>
      <c r="G138" s="19" t="s">
        <v>1317</v>
      </c>
      <c r="H138" s="18">
        <v>1</v>
      </c>
      <c r="I138" s="18" t="s">
        <v>146</v>
      </c>
      <c r="J138" s="44"/>
      <c r="K138" s="56"/>
    </row>
    <row r="139" spans="1:11" ht="15.75" customHeight="1" x14ac:dyDescent="0.2">
      <c r="A139" s="18" t="s">
        <v>44</v>
      </c>
      <c r="B139" s="19" t="s">
        <v>1165</v>
      </c>
      <c r="C139" s="19" t="s">
        <v>1236</v>
      </c>
      <c r="D139" s="18" t="s">
        <v>1171</v>
      </c>
      <c r="E139" s="105"/>
      <c r="F139" s="18">
        <v>90152</v>
      </c>
      <c r="G139" s="19" t="s">
        <v>1318</v>
      </c>
      <c r="H139" s="18">
        <v>1</v>
      </c>
      <c r="I139" s="18" t="s">
        <v>146</v>
      </c>
      <c r="J139" s="44"/>
      <c r="K139" s="56"/>
    </row>
    <row r="140" spans="1:11" ht="15.75" customHeight="1" x14ac:dyDescent="0.2">
      <c r="A140" s="18" t="s">
        <v>44</v>
      </c>
      <c r="B140" s="19" t="s">
        <v>1165</v>
      </c>
      <c r="C140" s="19" t="s">
        <v>1236</v>
      </c>
      <c r="D140" s="18" t="s">
        <v>1178</v>
      </c>
      <c r="E140" s="115" t="e" vm="237">
        <v>#VALUE!</v>
      </c>
      <c r="F140" s="18">
        <v>90154</v>
      </c>
      <c r="G140" s="19" t="s">
        <v>1319</v>
      </c>
      <c r="H140" s="18">
        <v>1</v>
      </c>
      <c r="I140" s="18" t="s">
        <v>146</v>
      </c>
      <c r="J140" s="44"/>
      <c r="K140" s="56"/>
    </row>
    <row r="141" spans="1:11" ht="15.75" customHeight="1" x14ac:dyDescent="0.2">
      <c r="A141" s="18" t="s">
        <v>44</v>
      </c>
      <c r="B141" s="19" t="s">
        <v>1165</v>
      </c>
      <c r="C141" s="19" t="s">
        <v>1236</v>
      </c>
      <c r="D141" s="18" t="s">
        <v>1178</v>
      </c>
      <c r="E141" s="116"/>
      <c r="F141" s="18">
        <v>90155</v>
      </c>
      <c r="G141" s="19" t="s">
        <v>1320</v>
      </c>
      <c r="H141" s="18">
        <v>1</v>
      </c>
      <c r="I141" s="18" t="s">
        <v>146</v>
      </c>
      <c r="J141" s="44"/>
      <c r="K141" s="56"/>
    </row>
    <row r="142" spans="1:11" ht="15.75" customHeight="1" x14ac:dyDescent="0.2">
      <c r="A142" s="18" t="s">
        <v>44</v>
      </c>
      <c r="B142" s="19" t="s">
        <v>1165</v>
      </c>
      <c r="C142" s="19" t="s">
        <v>1236</v>
      </c>
      <c r="D142" s="18" t="s">
        <v>1178</v>
      </c>
      <c r="E142" s="116"/>
      <c r="F142" s="18">
        <v>90156</v>
      </c>
      <c r="G142" s="19" t="s">
        <v>1321</v>
      </c>
      <c r="H142" s="18">
        <v>1</v>
      </c>
      <c r="I142" s="18" t="s">
        <v>146</v>
      </c>
      <c r="J142" s="44"/>
      <c r="K142" s="56"/>
    </row>
    <row r="143" spans="1:11" ht="15.75" customHeight="1" x14ac:dyDescent="0.2">
      <c r="A143" s="18" t="s">
        <v>44</v>
      </c>
      <c r="B143" s="19" t="s">
        <v>1165</v>
      </c>
      <c r="C143" s="19" t="s">
        <v>1236</v>
      </c>
      <c r="D143" s="18" t="s">
        <v>1178</v>
      </c>
      <c r="E143" s="116"/>
      <c r="F143" s="18">
        <v>90157</v>
      </c>
      <c r="G143" s="19" t="s">
        <v>1322</v>
      </c>
      <c r="H143" s="18">
        <v>1</v>
      </c>
      <c r="I143" s="18" t="s">
        <v>146</v>
      </c>
      <c r="J143" s="44"/>
      <c r="K143" s="56"/>
    </row>
    <row r="144" spans="1:11" ht="15.75" customHeight="1" x14ac:dyDescent="0.2">
      <c r="A144" s="18" t="s">
        <v>44</v>
      </c>
      <c r="B144" s="19" t="s">
        <v>1165</v>
      </c>
      <c r="C144" s="19" t="s">
        <v>1236</v>
      </c>
      <c r="D144" s="18" t="s">
        <v>1178</v>
      </c>
      <c r="E144" s="116"/>
      <c r="F144" s="18">
        <v>90158</v>
      </c>
      <c r="G144" s="19" t="s">
        <v>1323</v>
      </c>
      <c r="H144" s="18">
        <v>1</v>
      </c>
      <c r="I144" s="18" t="s">
        <v>146</v>
      </c>
      <c r="J144" s="44"/>
      <c r="K144" s="56"/>
    </row>
    <row r="145" spans="1:11" ht="15.75" customHeight="1" x14ac:dyDescent="0.2">
      <c r="A145" s="18" t="s">
        <v>44</v>
      </c>
      <c r="B145" s="19" t="s">
        <v>1165</v>
      </c>
      <c r="C145" s="19" t="s">
        <v>1236</v>
      </c>
      <c r="D145" s="18" t="s">
        <v>1178</v>
      </c>
      <c r="E145" s="116"/>
      <c r="F145" s="18">
        <v>90159</v>
      </c>
      <c r="G145" s="19" t="s">
        <v>1324</v>
      </c>
      <c r="H145" s="18">
        <v>1</v>
      </c>
      <c r="I145" s="18" t="s">
        <v>146</v>
      </c>
      <c r="J145" s="44"/>
      <c r="K145" s="56"/>
    </row>
    <row r="146" spans="1:11" ht="15.75" customHeight="1" x14ac:dyDescent="0.2">
      <c r="A146" s="18" t="s">
        <v>44</v>
      </c>
      <c r="B146" s="19" t="s">
        <v>1165</v>
      </c>
      <c r="C146" s="19" t="s">
        <v>1236</v>
      </c>
      <c r="D146" s="18" t="s">
        <v>1178</v>
      </c>
      <c r="E146" s="117"/>
      <c r="F146" s="18">
        <v>90160</v>
      </c>
      <c r="G146" s="19" t="s">
        <v>1325</v>
      </c>
      <c r="H146" s="18">
        <v>1</v>
      </c>
      <c r="I146" s="18" t="s">
        <v>146</v>
      </c>
      <c r="J146" s="44"/>
      <c r="K146" s="56"/>
    </row>
    <row r="147" spans="1:11" ht="15.75" customHeight="1" x14ac:dyDescent="0.2">
      <c r="A147" s="18" t="s">
        <v>44</v>
      </c>
      <c r="B147" s="19" t="s">
        <v>1165</v>
      </c>
      <c r="C147" s="19" t="s">
        <v>1236</v>
      </c>
      <c r="D147" s="18" t="s">
        <v>1178</v>
      </c>
      <c r="E147" s="115" t="e" vm="238">
        <v>#VALUE!</v>
      </c>
      <c r="F147" s="18">
        <v>90161</v>
      </c>
      <c r="G147" s="19" t="s">
        <v>1326</v>
      </c>
      <c r="H147" s="18">
        <v>1</v>
      </c>
      <c r="I147" s="18" t="s">
        <v>146</v>
      </c>
      <c r="J147" s="44"/>
      <c r="K147" s="56"/>
    </row>
    <row r="148" spans="1:11" ht="15.75" customHeight="1" x14ac:dyDescent="0.2">
      <c r="A148" s="18" t="s">
        <v>44</v>
      </c>
      <c r="B148" s="19" t="s">
        <v>1165</v>
      </c>
      <c r="C148" s="19" t="s">
        <v>1236</v>
      </c>
      <c r="D148" s="18" t="s">
        <v>1178</v>
      </c>
      <c r="E148" s="116"/>
      <c r="F148" s="18">
        <v>90162</v>
      </c>
      <c r="G148" s="19" t="s">
        <v>1327</v>
      </c>
      <c r="H148" s="18">
        <v>1</v>
      </c>
      <c r="I148" s="18" t="s">
        <v>146</v>
      </c>
      <c r="J148" s="44"/>
      <c r="K148" s="56"/>
    </row>
    <row r="149" spans="1:11" ht="15.75" customHeight="1" x14ac:dyDescent="0.2">
      <c r="A149" s="18" t="s">
        <v>44</v>
      </c>
      <c r="B149" s="19" t="s">
        <v>1165</v>
      </c>
      <c r="C149" s="19" t="s">
        <v>1236</v>
      </c>
      <c r="D149" s="18" t="s">
        <v>1178</v>
      </c>
      <c r="E149" s="116"/>
      <c r="F149" s="18">
        <v>90163</v>
      </c>
      <c r="G149" s="19" t="s">
        <v>1328</v>
      </c>
      <c r="H149" s="18">
        <v>1</v>
      </c>
      <c r="I149" s="18" t="s">
        <v>146</v>
      </c>
      <c r="J149" s="44"/>
      <c r="K149" s="56"/>
    </row>
    <row r="150" spans="1:11" ht="15.75" customHeight="1" x14ac:dyDescent="0.2">
      <c r="A150" s="18" t="s">
        <v>44</v>
      </c>
      <c r="B150" s="19" t="s">
        <v>1165</v>
      </c>
      <c r="C150" s="19" t="s">
        <v>1236</v>
      </c>
      <c r="D150" s="18" t="s">
        <v>1178</v>
      </c>
      <c r="E150" s="116"/>
      <c r="F150" s="18">
        <v>90164</v>
      </c>
      <c r="G150" s="19" t="s">
        <v>1329</v>
      </c>
      <c r="H150" s="18">
        <v>1</v>
      </c>
      <c r="I150" s="18" t="s">
        <v>146</v>
      </c>
      <c r="J150" s="44"/>
      <c r="K150" s="56"/>
    </row>
    <row r="151" spans="1:11" ht="15.75" customHeight="1" x14ac:dyDescent="0.2">
      <c r="A151" s="18" t="s">
        <v>44</v>
      </c>
      <c r="B151" s="19" t="s">
        <v>1165</v>
      </c>
      <c r="C151" s="19" t="s">
        <v>1236</v>
      </c>
      <c r="D151" s="18" t="s">
        <v>1178</v>
      </c>
      <c r="E151" s="116"/>
      <c r="F151" s="18">
        <v>90165</v>
      </c>
      <c r="G151" s="19" t="s">
        <v>1330</v>
      </c>
      <c r="H151" s="18">
        <v>1</v>
      </c>
      <c r="I151" s="18" t="s">
        <v>146</v>
      </c>
      <c r="J151" s="44"/>
      <c r="K151" s="56"/>
    </row>
    <row r="152" spans="1:11" ht="15.75" customHeight="1" x14ac:dyDescent="0.2">
      <c r="A152" s="18" t="s">
        <v>44</v>
      </c>
      <c r="B152" s="19" t="s">
        <v>1165</v>
      </c>
      <c r="C152" s="19" t="s">
        <v>1236</v>
      </c>
      <c r="D152" s="18" t="s">
        <v>1178</v>
      </c>
      <c r="E152" s="116"/>
      <c r="F152" s="18">
        <v>90166</v>
      </c>
      <c r="G152" s="19" t="s">
        <v>1331</v>
      </c>
      <c r="H152" s="18">
        <v>1</v>
      </c>
      <c r="I152" s="18" t="s">
        <v>146</v>
      </c>
      <c r="J152" s="44"/>
      <c r="K152" s="56"/>
    </row>
    <row r="153" spans="1:11" ht="15.75" customHeight="1" x14ac:dyDescent="0.2">
      <c r="A153" s="18" t="s">
        <v>44</v>
      </c>
      <c r="B153" s="19" t="s">
        <v>1165</v>
      </c>
      <c r="C153" s="19" t="s">
        <v>1236</v>
      </c>
      <c r="D153" s="18" t="s">
        <v>1178</v>
      </c>
      <c r="E153" s="116"/>
      <c r="F153" s="18">
        <v>90167</v>
      </c>
      <c r="G153" s="19" t="s">
        <v>1332</v>
      </c>
      <c r="H153" s="18">
        <v>1</v>
      </c>
      <c r="I153" s="18" t="s">
        <v>146</v>
      </c>
      <c r="J153" s="44"/>
      <c r="K153" s="56"/>
    </row>
    <row r="154" spans="1:11" ht="15.75" customHeight="1" x14ac:dyDescent="0.2">
      <c r="A154" s="18" t="s">
        <v>44</v>
      </c>
      <c r="B154" s="19" t="s">
        <v>1165</v>
      </c>
      <c r="C154" s="19" t="s">
        <v>1236</v>
      </c>
      <c r="D154" s="18" t="s">
        <v>1178</v>
      </c>
      <c r="E154" s="117"/>
      <c r="F154" s="18">
        <v>90168</v>
      </c>
      <c r="G154" s="19" t="s">
        <v>1333</v>
      </c>
      <c r="H154" s="18">
        <v>1</v>
      </c>
      <c r="I154" s="18" t="s">
        <v>146</v>
      </c>
      <c r="J154" s="44"/>
      <c r="K154" s="56"/>
    </row>
    <row r="155" spans="1:11" ht="15.75" customHeight="1" x14ac:dyDescent="0.2">
      <c r="A155" s="18" t="s">
        <v>44</v>
      </c>
      <c r="B155" s="19" t="s">
        <v>1165</v>
      </c>
      <c r="C155" s="19" t="s">
        <v>1236</v>
      </c>
      <c r="D155" s="18" t="s">
        <v>1178</v>
      </c>
      <c r="E155" s="106" t="e" vm="239">
        <v>#VALUE!</v>
      </c>
      <c r="F155" s="18">
        <v>90169</v>
      </c>
      <c r="G155" s="19" t="s">
        <v>1334</v>
      </c>
      <c r="H155" s="18">
        <v>1</v>
      </c>
      <c r="I155" s="18" t="s">
        <v>146</v>
      </c>
      <c r="J155" s="44"/>
      <c r="K155" s="56"/>
    </row>
    <row r="156" spans="1:11" ht="15.75" customHeight="1" x14ac:dyDescent="0.2">
      <c r="A156" s="18" t="s">
        <v>44</v>
      </c>
      <c r="B156" s="19" t="s">
        <v>1165</v>
      </c>
      <c r="C156" s="19" t="s">
        <v>1236</v>
      </c>
      <c r="D156" s="18" t="s">
        <v>1178</v>
      </c>
      <c r="E156" s="105"/>
      <c r="F156" s="18">
        <v>90170</v>
      </c>
      <c r="G156" s="19" t="s">
        <v>1335</v>
      </c>
      <c r="H156" s="18">
        <v>1</v>
      </c>
      <c r="I156" s="18" t="s">
        <v>146</v>
      </c>
      <c r="J156" s="44"/>
      <c r="K156" s="56"/>
    </row>
    <row r="157" spans="1:11" ht="24" customHeight="1" x14ac:dyDescent="0.2">
      <c r="A157" s="18" t="s">
        <v>44</v>
      </c>
      <c r="B157" s="19" t="s">
        <v>1165</v>
      </c>
      <c r="C157" s="19" t="s">
        <v>1236</v>
      </c>
      <c r="D157" s="18" t="s">
        <v>1178</v>
      </c>
      <c r="E157" s="79" t="e" vm="240">
        <v>#VALUE!</v>
      </c>
      <c r="F157" s="18">
        <v>90171</v>
      </c>
      <c r="G157" s="19" t="s">
        <v>1336</v>
      </c>
      <c r="H157" s="18">
        <v>1</v>
      </c>
      <c r="I157" s="18" t="s">
        <v>146</v>
      </c>
      <c r="J157" s="44"/>
      <c r="K157" s="56"/>
    </row>
    <row r="158" spans="1:11" ht="24" customHeight="1" x14ac:dyDescent="0.2">
      <c r="A158" s="18" t="s">
        <v>44</v>
      </c>
      <c r="B158" s="19" t="s">
        <v>1165</v>
      </c>
      <c r="C158" s="19" t="s">
        <v>1236</v>
      </c>
      <c r="D158" s="18" t="s">
        <v>1178</v>
      </c>
      <c r="E158" s="79" t="e" vm="241">
        <v>#VALUE!</v>
      </c>
      <c r="F158" s="18">
        <v>90172</v>
      </c>
      <c r="G158" s="19" t="s">
        <v>1337</v>
      </c>
      <c r="H158" s="18">
        <v>1</v>
      </c>
      <c r="I158" s="18" t="s">
        <v>146</v>
      </c>
      <c r="J158" s="44"/>
      <c r="K158" s="56"/>
    </row>
    <row r="159" spans="1:11" ht="15.75" customHeight="1" x14ac:dyDescent="0.2">
      <c r="A159" s="40"/>
      <c r="B159" s="41"/>
      <c r="C159" s="41"/>
      <c r="D159" s="42"/>
      <c r="E159" s="80"/>
      <c r="F159" s="42"/>
      <c r="G159" s="42"/>
      <c r="H159" s="41"/>
      <c r="I159" s="42"/>
      <c r="J159" s="40"/>
    </row>
  </sheetData>
  <mergeCells count="31">
    <mergeCell ref="B1:I1"/>
    <mergeCell ref="E106:E112"/>
    <mergeCell ref="E123:E132"/>
    <mergeCell ref="E17:E19"/>
    <mergeCell ref="E67:E71"/>
    <mergeCell ref="E20:E22"/>
    <mergeCell ref="E76:E81"/>
    <mergeCell ref="E13:E15"/>
    <mergeCell ref="E88:E90"/>
    <mergeCell ref="E44:E46"/>
    <mergeCell ref="E56:E66"/>
    <mergeCell ref="E91:E94"/>
    <mergeCell ref="E10:E12"/>
    <mergeCell ref="E113:E122"/>
    <mergeCell ref="E72:E75"/>
    <mergeCell ref="E3:E6"/>
    <mergeCell ref="E25:E36"/>
    <mergeCell ref="E23:E24"/>
    <mergeCell ref="E41:E43"/>
    <mergeCell ref="E155:E156"/>
    <mergeCell ref="E50:E52"/>
    <mergeCell ref="E53:E55"/>
    <mergeCell ref="E47:E49"/>
    <mergeCell ref="E82:E87"/>
    <mergeCell ref="E147:E154"/>
    <mergeCell ref="E95:E105"/>
    <mergeCell ref="E133:E134"/>
    <mergeCell ref="E140:E146"/>
    <mergeCell ref="E135:E136"/>
    <mergeCell ref="E137:E139"/>
    <mergeCell ref="E37:E40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K3:K158" xr:uid="{00000000-0002-0000-0F00-000000000000}">
      <formula1>0</formula1>
    </dataValidation>
  </dataValidations>
  <hyperlinks>
    <hyperlink ref="A1" location="'Menú por Categoría'!C14" display="Volver al menú principal" xr:uid="{00000000-0004-0000-0F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F0"/>
  </sheetPr>
  <dimension ref="A1:Q17"/>
  <sheetViews>
    <sheetView showGridLines="0" zoomScale="70" zoomScaleNormal="70" workbookViewId="0">
      <pane ySplit="2" topLeftCell="A3" activePane="bottomLeft" state="frozen"/>
      <selection pane="bottomLeft"/>
    </sheetView>
  </sheetViews>
  <sheetFormatPr baseColWidth="10" defaultColWidth="16" defaultRowHeight="15.75" customHeight="1" x14ac:dyDescent="0.2"/>
  <cols>
    <col min="1" max="1" width="22.5" style="10" customWidth="1"/>
    <col min="2" max="2" width="30.6640625" style="11" customWidth="1"/>
    <col min="3" max="3" width="28.1640625" style="11" hidden="1" customWidth="1"/>
    <col min="4" max="4" width="23.1640625" style="12" customWidth="1"/>
    <col min="5" max="5" width="12.1640625" style="81" customWidth="1"/>
    <col min="6" max="6" width="8.83203125" style="12" customWidth="1"/>
    <col min="7" max="7" width="64.83203125" style="12" customWidth="1"/>
    <col min="8" max="8" width="13.83203125" style="11" customWidth="1"/>
    <col min="9" max="9" width="15" style="12" customWidth="1"/>
    <col min="10" max="10" width="13.83203125" style="11" customWidth="1"/>
    <col min="11" max="11" width="13.5" style="12" customWidth="1"/>
    <col min="12" max="12" width="12.1640625" style="10" customWidth="1"/>
    <col min="13" max="13" width="15.1640625" style="10" customWidth="1"/>
    <col min="14" max="14" width="19.6640625" style="47" customWidth="1"/>
    <col min="15" max="15" width="13.5" style="10" customWidth="1"/>
    <col min="16" max="16" width="10.1640625" style="10" customWidth="1"/>
    <col min="17" max="17" width="16" style="10" customWidth="1"/>
    <col min="18" max="16384" width="16" style="10"/>
  </cols>
  <sheetData>
    <row r="1" spans="1:17" ht="68.25" customHeight="1" x14ac:dyDescent="0.2">
      <c r="A1" s="13" t="s">
        <v>36</v>
      </c>
      <c r="B1" s="143" t="s">
        <v>1428</v>
      </c>
      <c r="C1" s="119"/>
      <c r="D1" s="119"/>
      <c r="E1" s="119"/>
      <c r="F1" s="119"/>
      <c r="G1" s="119"/>
      <c r="H1" s="119"/>
      <c r="I1" s="119"/>
      <c r="J1" s="119"/>
      <c r="K1" s="119"/>
      <c r="L1" s="142"/>
      <c r="M1" s="141" t="s">
        <v>1430</v>
      </c>
      <c r="N1" s="119"/>
      <c r="O1" s="142"/>
      <c r="P1" s="44"/>
    </row>
    <row r="2" spans="1:17" ht="59.25" customHeight="1" x14ac:dyDescent="0.2">
      <c r="A2" s="15" t="s">
        <v>7</v>
      </c>
      <c r="B2" s="15" t="s">
        <v>8</v>
      </c>
      <c r="C2" s="15" t="s">
        <v>38</v>
      </c>
      <c r="D2" s="15" t="s">
        <v>12</v>
      </c>
      <c r="E2" s="72" t="s">
        <v>39</v>
      </c>
      <c r="F2" s="16" t="s">
        <v>40</v>
      </c>
      <c r="G2" s="16" t="s">
        <v>41</v>
      </c>
      <c r="H2" s="17" t="s">
        <v>42</v>
      </c>
      <c r="I2" s="17" t="s">
        <v>43</v>
      </c>
      <c r="J2" s="48" t="s">
        <v>1431</v>
      </c>
      <c r="K2" s="48" t="s">
        <v>1432</v>
      </c>
      <c r="L2" s="49" t="s">
        <v>1433</v>
      </c>
      <c r="M2" s="50" t="s">
        <v>1434</v>
      </c>
      <c r="N2" s="51" t="s">
        <v>1435</v>
      </c>
      <c r="O2" s="52" t="s">
        <v>1436</v>
      </c>
      <c r="P2" s="44"/>
      <c r="Q2" s="55" t="s">
        <v>1429</v>
      </c>
    </row>
    <row r="3" spans="1:17" ht="57" customHeight="1" x14ac:dyDescent="0.2">
      <c r="A3" s="18" t="s">
        <v>1338</v>
      </c>
      <c r="B3" s="19" t="s">
        <v>1339</v>
      </c>
      <c r="C3" s="19" t="s">
        <v>1340</v>
      </c>
      <c r="D3" s="21" t="s">
        <v>1341</v>
      </c>
      <c r="E3" s="23" t="e" vm="242">
        <v>#VALUE!</v>
      </c>
      <c r="F3" s="23">
        <v>80001</v>
      </c>
      <c r="G3" s="39" t="s">
        <v>1342</v>
      </c>
      <c r="H3" s="18">
        <v>1</v>
      </c>
      <c r="I3" s="18" t="s">
        <v>146</v>
      </c>
      <c r="J3" s="18">
        <v>1</v>
      </c>
      <c r="K3" s="18" t="s">
        <v>146</v>
      </c>
      <c r="L3" s="18" t="s">
        <v>1437</v>
      </c>
      <c r="M3" s="53" t="s">
        <v>1437</v>
      </c>
      <c r="N3" s="53" t="s">
        <v>1437</v>
      </c>
      <c r="O3" s="53" t="s">
        <v>1437</v>
      </c>
      <c r="P3" s="44"/>
      <c r="Q3" s="56"/>
    </row>
    <row r="4" spans="1:17" ht="57" customHeight="1" x14ac:dyDescent="0.2">
      <c r="A4" s="18" t="s">
        <v>1338</v>
      </c>
      <c r="B4" s="19" t="s">
        <v>1339</v>
      </c>
      <c r="C4" s="19" t="s">
        <v>1340</v>
      </c>
      <c r="D4" s="21" t="s">
        <v>1341</v>
      </c>
      <c r="E4" s="23" t="e" vm="243">
        <v>#VALUE!</v>
      </c>
      <c r="F4" s="23">
        <v>80002</v>
      </c>
      <c r="G4" s="39" t="s">
        <v>1343</v>
      </c>
      <c r="H4" s="18">
        <v>1</v>
      </c>
      <c r="I4" s="18" t="s">
        <v>146</v>
      </c>
      <c r="J4" s="18">
        <v>1</v>
      </c>
      <c r="K4" s="18" t="s">
        <v>146</v>
      </c>
      <c r="L4" s="18" t="s">
        <v>1437</v>
      </c>
      <c r="M4" s="53" t="s">
        <v>1437</v>
      </c>
      <c r="N4" s="53" t="s">
        <v>1437</v>
      </c>
      <c r="O4" s="53" t="s">
        <v>1437</v>
      </c>
      <c r="P4" s="44"/>
      <c r="Q4" s="56"/>
    </row>
    <row r="5" spans="1:17" ht="57" customHeight="1" x14ac:dyDescent="0.2">
      <c r="A5" s="18" t="s">
        <v>1338</v>
      </c>
      <c r="B5" s="19" t="s">
        <v>1339</v>
      </c>
      <c r="C5" s="19" t="s">
        <v>1340</v>
      </c>
      <c r="D5" s="21" t="s">
        <v>1341</v>
      </c>
      <c r="E5" s="23" t="e" vm="244">
        <v>#VALUE!</v>
      </c>
      <c r="F5" s="23">
        <v>80003</v>
      </c>
      <c r="G5" s="39" t="s">
        <v>1344</v>
      </c>
      <c r="H5" s="18">
        <v>1</v>
      </c>
      <c r="I5" s="18" t="s">
        <v>146</v>
      </c>
      <c r="J5" s="18">
        <v>1</v>
      </c>
      <c r="K5" s="18" t="s">
        <v>146</v>
      </c>
      <c r="L5" s="18" t="s">
        <v>1437</v>
      </c>
      <c r="M5" s="53" t="s">
        <v>1437</v>
      </c>
      <c r="N5" s="53" t="s">
        <v>1437</v>
      </c>
      <c r="O5" s="53" t="s">
        <v>1437</v>
      </c>
      <c r="P5" s="44"/>
      <c r="Q5" s="56"/>
    </row>
    <row r="6" spans="1:17" ht="57" customHeight="1" x14ac:dyDescent="0.2">
      <c r="A6" s="18" t="s">
        <v>1338</v>
      </c>
      <c r="B6" s="19" t="s">
        <v>1339</v>
      </c>
      <c r="C6" s="19" t="s">
        <v>1340</v>
      </c>
      <c r="D6" s="21" t="s">
        <v>1345</v>
      </c>
      <c r="E6" s="23" t="e" vm="245">
        <v>#VALUE!</v>
      </c>
      <c r="F6" s="23">
        <v>80004</v>
      </c>
      <c r="G6" s="39" t="s">
        <v>1346</v>
      </c>
      <c r="H6" s="18">
        <v>1</v>
      </c>
      <c r="I6" s="18" t="s">
        <v>146</v>
      </c>
      <c r="J6" s="18">
        <v>1</v>
      </c>
      <c r="K6" s="18" t="s">
        <v>146</v>
      </c>
      <c r="L6" s="18" t="s">
        <v>1437</v>
      </c>
      <c r="M6" s="53" t="s">
        <v>1437</v>
      </c>
      <c r="N6" s="53" t="s">
        <v>1437</v>
      </c>
      <c r="O6" s="53" t="s">
        <v>1437</v>
      </c>
      <c r="P6" s="44"/>
      <c r="Q6" s="56"/>
    </row>
    <row r="7" spans="1:17" ht="57" customHeight="1" x14ac:dyDescent="0.2">
      <c r="A7" s="18" t="s">
        <v>1338</v>
      </c>
      <c r="B7" s="19" t="s">
        <v>1339</v>
      </c>
      <c r="C7" s="19" t="s">
        <v>1340</v>
      </c>
      <c r="D7" s="21" t="s">
        <v>1345</v>
      </c>
      <c r="E7" s="23" t="e" vm="246">
        <v>#VALUE!</v>
      </c>
      <c r="F7" s="23">
        <v>80005</v>
      </c>
      <c r="G7" s="39" t="s">
        <v>1347</v>
      </c>
      <c r="H7" s="18">
        <v>1</v>
      </c>
      <c r="I7" s="18" t="s">
        <v>146</v>
      </c>
      <c r="J7" s="18">
        <v>1</v>
      </c>
      <c r="K7" s="18" t="s">
        <v>146</v>
      </c>
      <c r="L7" s="18" t="s">
        <v>1437</v>
      </c>
      <c r="M7" s="53" t="s">
        <v>1437</v>
      </c>
      <c r="N7" s="53" t="s">
        <v>1437</v>
      </c>
      <c r="O7" s="53" t="s">
        <v>1437</v>
      </c>
      <c r="P7" s="44"/>
      <c r="Q7" s="56"/>
    </row>
    <row r="8" spans="1:17" ht="57" customHeight="1" x14ac:dyDescent="0.2">
      <c r="A8" s="18" t="s">
        <v>1338</v>
      </c>
      <c r="B8" s="19" t="s">
        <v>1339</v>
      </c>
      <c r="C8" s="19" t="s">
        <v>1340</v>
      </c>
      <c r="D8" s="21" t="s">
        <v>1348</v>
      </c>
      <c r="E8" s="23" t="e" vm="247">
        <v>#VALUE!</v>
      </c>
      <c r="F8" s="23">
        <v>80006</v>
      </c>
      <c r="G8" s="39" t="s">
        <v>1349</v>
      </c>
      <c r="H8" s="18">
        <v>1</v>
      </c>
      <c r="I8" s="18" t="s">
        <v>146</v>
      </c>
      <c r="J8" s="18">
        <v>1</v>
      </c>
      <c r="K8" s="18" t="s">
        <v>146</v>
      </c>
      <c r="L8" s="18" t="s">
        <v>1437</v>
      </c>
      <c r="M8" s="53" t="s">
        <v>1437</v>
      </c>
      <c r="N8" s="53" t="s">
        <v>1437</v>
      </c>
      <c r="O8" s="53" t="s">
        <v>1437</v>
      </c>
      <c r="P8" s="44"/>
      <c r="Q8" s="56"/>
    </row>
    <row r="9" spans="1:17" ht="57" customHeight="1" x14ac:dyDescent="0.2">
      <c r="A9" s="18" t="s">
        <v>1338</v>
      </c>
      <c r="B9" s="19" t="s">
        <v>1339</v>
      </c>
      <c r="C9" s="19" t="s">
        <v>1340</v>
      </c>
      <c r="D9" s="21" t="s">
        <v>1348</v>
      </c>
      <c r="E9" s="23" t="e" vm="248">
        <v>#VALUE!</v>
      </c>
      <c r="F9" s="23">
        <v>80007</v>
      </c>
      <c r="G9" s="39" t="s">
        <v>1350</v>
      </c>
      <c r="H9" s="18">
        <v>1</v>
      </c>
      <c r="I9" s="18" t="s">
        <v>146</v>
      </c>
      <c r="J9" s="18">
        <v>1</v>
      </c>
      <c r="K9" s="18" t="s">
        <v>146</v>
      </c>
      <c r="L9" s="18" t="s">
        <v>1437</v>
      </c>
      <c r="M9" s="53" t="s">
        <v>1437</v>
      </c>
      <c r="N9" s="53" t="s">
        <v>1437</v>
      </c>
      <c r="O9" s="53" t="s">
        <v>1437</v>
      </c>
      <c r="P9" s="44"/>
      <c r="Q9" s="56"/>
    </row>
    <row r="10" spans="1:17" ht="57" customHeight="1" x14ac:dyDescent="0.2">
      <c r="A10" s="18" t="s">
        <v>1338</v>
      </c>
      <c r="B10" s="19" t="s">
        <v>1339</v>
      </c>
      <c r="C10" s="19" t="s">
        <v>1340</v>
      </c>
      <c r="D10" s="21" t="s">
        <v>1351</v>
      </c>
      <c r="E10" s="23" t="e" vm="249">
        <v>#VALUE!</v>
      </c>
      <c r="F10" s="23">
        <v>80008</v>
      </c>
      <c r="G10" s="39" t="s">
        <v>1352</v>
      </c>
      <c r="H10" s="18">
        <v>1</v>
      </c>
      <c r="I10" s="18" t="s">
        <v>146</v>
      </c>
      <c r="J10" s="18">
        <v>1</v>
      </c>
      <c r="K10" s="18" t="s">
        <v>146</v>
      </c>
      <c r="L10" s="18" t="s">
        <v>1437</v>
      </c>
      <c r="M10" s="53" t="s">
        <v>1437</v>
      </c>
      <c r="N10" s="53" t="s">
        <v>1437</v>
      </c>
      <c r="O10" s="53" t="s">
        <v>1437</v>
      </c>
      <c r="P10" s="44"/>
      <c r="Q10" s="56"/>
    </row>
    <row r="11" spans="1:17" ht="57" customHeight="1" x14ac:dyDescent="0.2">
      <c r="A11" s="18" t="s">
        <v>1338</v>
      </c>
      <c r="B11" s="19" t="s">
        <v>1339</v>
      </c>
      <c r="C11" s="19" t="s">
        <v>1340</v>
      </c>
      <c r="D11" s="21" t="s">
        <v>1351</v>
      </c>
      <c r="E11" s="23" t="e" vm="249">
        <v>#VALUE!</v>
      </c>
      <c r="F11" s="23">
        <v>80009</v>
      </c>
      <c r="G11" s="39" t="s">
        <v>1353</v>
      </c>
      <c r="H11" s="18">
        <v>1</v>
      </c>
      <c r="I11" s="18" t="s">
        <v>146</v>
      </c>
      <c r="J11" s="18">
        <v>1</v>
      </c>
      <c r="K11" s="18" t="s">
        <v>146</v>
      </c>
      <c r="L11" s="18" t="s">
        <v>1437</v>
      </c>
      <c r="M11" s="53" t="s">
        <v>1437</v>
      </c>
      <c r="N11" s="53" t="s">
        <v>1437</v>
      </c>
      <c r="O11" s="53" t="s">
        <v>1437</v>
      </c>
      <c r="P11" s="44"/>
      <c r="Q11" s="56"/>
    </row>
    <row r="12" spans="1:17" ht="57" customHeight="1" x14ac:dyDescent="0.2">
      <c r="A12" s="18" t="s">
        <v>1338</v>
      </c>
      <c r="B12" s="19" t="s">
        <v>1339</v>
      </c>
      <c r="C12" s="19" t="s">
        <v>1340</v>
      </c>
      <c r="D12" s="21" t="s">
        <v>1351</v>
      </c>
      <c r="E12" s="23" t="e" vm="249">
        <v>#VALUE!</v>
      </c>
      <c r="F12" s="23">
        <v>80010</v>
      </c>
      <c r="G12" s="39" t="s">
        <v>1354</v>
      </c>
      <c r="H12" s="18">
        <v>1</v>
      </c>
      <c r="I12" s="18" t="s">
        <v>146</v>
      </c>
      <c r="J12" s="18">
        <v>1</v>
      </c>
      <c r="K12" s="18" t="s">
        <v>146</v>
      </c>
      <c r="L12" s="18" t="s">
        <v>1437</v>
      </c>
      <c r="M12" s="53" t="s">
        <v>1437</v>
      </c>
      <c r="N12" s="53" t="s">
        <v>1437</v>
      </c>
      <c r="O12" s="53" t="s">
        <v>1437</v>
      </c>
      <c r="P12" s="44"/>
      <c r="Q12" s="56"/>
    </row>
    <row r="13" spans="1:17" ht="57" customHeight="1" x14ac:dyDescent="0.2">
      <c r="A13" s="18" t="s">
        <v>1338</v>
      </c>
      <c r="B13" s="19" t="s">
        <v>1339</v>
      </c>
      <c r="C13" s="19" t="s">
        <v>1340</v>
      </c>
      <c r="D13" s="21" t="s">
        <v>1351</v>
      </c>
      <c r="E13" s="23" t="e" vm="249">
        <v>#VALUE!</v>
      </c>
      <c r="F13" s="23">
        <v>80011</v>
      </c>
      <c r="G13" s="39" t="s">
        <v>1355</v>
      </c>
      <c r="H13" s="18">
        <v>1</v>
      </c>
      <c r="I13" s="18" t="s">
        <v>146</v>
      </c>
      <c r="J13" s="18">
        <v>1</v>
      </c>
      <c r="K13" s="18" t="s">
        <v>146</v>
      </c>
      <c r="L13" s="18" t="s">
        <v>1437</v>
      </c>
      <c r="M13" s="53" t="s">
        <v>1437</v>
      </c>
      <c r="N13" s="53" t="s">
        <v>1437</v>
      </c>
      <c r="O13" s="53" t="s">
        <v>1437</v>
      </c>
      <c r="P13" s="44"/>
      <c r="Q13" s="56"/>
    </row>
    <row r="14" spans="1:17" ht="57" customHeight="1" x14ac:dyDescent="0.2">
      <c r="A14" s="18" t="s">
        <v>1338</v>
      </c>
      <c r="B14" s="19" t="s">
        <v>1339</v>
      </c>
      <c r="C14" s="19" t="s">
        <v>1340</v>
      </c>
      <c r="D14" s="21" t="s">
        <v>1356</v>
      </c>
      <c r="E14" s="23" t="e" vm="250">
        <v>#VALUE!</v>
      </c>
      <c r="F14" s="23">
        <v>80012</v>
      </c>
      <c r="G14" s="39" t="s">
        <v>1357</v>
      </c>
      <c r="H14" s="18">
        <v>1</v>
      </c>
      <c r="I14" s="18" t="s">
        <v>146</v>
      </c>
      <c r="J14" s="18">
        <v>1</v>
      </c>
      <c r="K14" s="18" t="s">
        <v>146</v>
      </c>
      <c r="L14" s="18" t="s">
        <v>1437</v>
      </c>
      <c r="M14" s="53" t="s">
        <v>1437</v>
      </c>
      <c r="N14" s="53" t="s">
        <v>1437</v>
      </c>
      <c r="O14" s="53" t="s">
        <v>1437</v>
      </c>
      <c r="P14" s="44"/>
      <c r="Q14" s="56"/>
    </row>
    <row r="15" spans="1:17" ht="57" customHeight="1" x14ac:dyDescent="0.2">
      <c r="A15" s="18" t="s">
        <v>1338</v>
      </c>
      <c r="B15" s="19" t="s">
        <v>1339</v>
      </c>
      <c r="C15" s="19" t="s">
        <v>1340</v>
      </c>
      <c r="D15" s="21" t="s">
        <v>1356</v>
      </c>
      <c r="E15" s="23" t="e" vm="251">
        <v>#VALUE!</v>
      </c>
      <c r="F15" s="23">
        <v>80013</v>
      </c>
      <c r="G15" s="39" t="s">
        <v>1358</v>
      </c>
      <c r="H15" s="18">
        <v>1</v>
      </c>
      <c r="I15" s="18" t="s">
        <v>146</v>
      </c>
      <c r="J15" s="18">
        <v>1</v>
      </c>
      <c r="K15" s="18" t="s">
        <v>146</v>
      </c>
      <c r="L15" s="18" t="s">
        <v>1437</v>
      </c>
      <c r="M15" s="53" t="s">
        <v>1437</v>
      </c>
      <c r="N15" s="53" t="s">
        <v>1437</v>
      </c>
      <c r="O15" s="53" t="s">
        <v>1437</v>
      </c>
      <c r="P15" s="44"/>
      <c r="Q15" s="56"/>
    </row>
    <row r="16" spans="1:17" ht="57" customHeight="1" x14ac:dyDescent="0.2">
      <c r="A16" s="18" t="s">
        <v>1338</v>
      </c>
      <c r="B16" s="19" t="s">
        <v>1339</v>
      </c>
      <c r="C16" s="19" t="s">
        <v>1340</v>
      </c>
      <c r="D16" s="21" t="s">
        <v>1359</v>
      </c>
      <c r="E16" s="23" t="e" vm="252">
        <v>#VALUE!</v>
      </c>
      <c r="F16" s="23">
        <v>80014</v>
      </c>
      <c r="G16" s="39" t="s">
        <v>1360</v>
      </c>
      <c r="H16" s="18">
        <v>1</v>
      </c>
      <c r="I16" s="18" t="s">
        <v>146</v>
      </c>
      <c r="J16" s="18">
        <v>1</v>
      </c>
      <c r="K16" s="18" t="s">
        <v>146</v>
      </c>
      <c r="L16" s="18" t="s">
        <v>1437</v>
      </c>
      <c r="M16" s="53" t="s">
        <v>1437</v>
      </c>
      <c r="N16" s="53" t="s">
        <v>1437</v>
      </c>
      <c r="O16" s="53" t="s">
        <v>1437</v>
      </c>
      <c r="P16" s="44"/>
      <c r="Q16" s="56"/>
    </row>
    <row r="17" spans="1:16" ht="15.75" customHeight="1" x14ac:dyDescent="0.2">
      <c r="A17" s="40"/>
      <c r="B17" s="41"/>
      <c r="C17" s="41"/>
      <c r="D17" s="42"/>
      <c r="E17" s="80"/>
      <c r="F17" s="42"/>
      <c r="G17" s="42"/>
      <c r="H17" s="41"/>
      <c r="I17" s="42"/>
      <c r="J17" s="41"/>
      <c r="K17" s="42"/>
      <c r="L17" s="40"/>
      <c r="M17" s="40"/>
      <c r="N17" s="54"/>
      <c r="O17" s="40"/>
      <c r="P17" s="40"/>
    </row>
  </sheetData>
  <mergeCells count="2">
    <mergeCell ref="M1:O1"/>
    <mergeCell ref="B1:L1"/>
  </mergeCells>
  <dataValidations count="1">
    <dataValidation type="whole" operator="greaterThanOrEqual" allowBlank="1" errorTitle="Cantidad inválida" error="Por favor ingresa un número entero igual o mayor a 0" promptTitle="Cantidad a cotizar" prompt="Ingresa la cantidad a cotizar (entero ≥ 0)" sqref="Q3:Q16" xr:uid="{00000000-0002-0000-1000-000000000000}">
      <formula1>0</formula1>
    </dataValidation>
  </dataValidations>
  <hyperlinks>
    <hyperlink ref="A1" location="'Menú por Categoría'!C14" display="Volver al menú principal" xr:uid="{00000000-0004-0000-1000-000000000000}"/>
  </hyperlinks>
  <pageMargins left="0.70833333333333304" right="0.70833333333333304" top="0.74791666666666701" bottom="0.74791666666666701" header="0.511811023622047" footer="0.511811023622047"/>
  <pageSetup scale="55" orientation="portrait" horizontalDpi="300" verticalDpi="30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1234"/>
  <sheetViews>
    <sheetView topLeftCell="A1195" workbookViewId="0">
      <selection activeCell="A1197" sqref="A1197"/>
    </sheetView>
  </sheetViews>
  <sheetFormatPr baseColWidth="10" defaultColWidth="8.83203125" defaultRowHeight="15" x14ac:dyDescent="0.2"/>
  <cols>
    <col min="1" max="1" width="28" customWidth="1"/>
    <col min="2" max="2" width="22" customWidth="1"/>
    <col min="3" max="3" width="30" customWidth="1"/>
    <col min="4" max="4" width="12" customWidth="1"/>
    <col min="5" max="5" width="50" customWidth="1"/>
    <col min="6" max="6" width="16" customWidth="1"/>
    <col min="7" max="7" width="18" customWidth="1"/>
    <col min="8" max="8" width="12" customWidth="1"/>
    <col min="9" max="9" width="8" customWidth="1"/>
  </cols>
  <sheetData>
    <row r="1" spans="1:9" x14ac:dyDescent="0.2">
      <c r="A1" s="57" t="s">
        <v>6</v>
      </c>
      <c r="B1" s="57" t="s">
        <v>7</v>
      </c>
      <c r="C1" s="57" t="s">
        <v>8</v>
      </c>
      <c r="D1" s="57" t="s">
        <v>40</v>
      </c>
      <c r="E1" s="57" t="s">
        <v>10</v>
      </c>
      <c r="F1" s="57" t="s">
        <v>11</v>
      </c>
      <c r="G1" s="57" t="s">
        <v>12</v>
      </c>
      <c r="H1" s="57" t="s">
        <v>13</v>
      </c>
      <c r="I1" s="57" t="s">
        <v>1438</v>
      </c>
    </row>
    <row r="2" spans="1:9" x14ac:dyDescent="0.2">
      <c r="A2" t="s">
        <v>1439</v>
      </c>
      <c r="B2" t="str">
        <f>'PVC Conduit y Libre Halógeno'!A3</f>
        <v>Canalización Eléctrica</v>
      </c>
      <c r="C2" t="str">
        <f>'PVC Conduit y Libre Halógeno'!B3</f>
        <v>PVC CONDUIT</v>
      </c>
      <c r="D2">
        <f>'PVC Conduit y Libre Halógeno'!F3</f>
        <v>15301</v>
      </c>
      <c r="E2" t="str">
        <f>'PVC Conduit y Libre Halógeno'!G3</f>
        <v>PVC CONDUIT TUBO 3M 16 CLASE IV N</v>
      </c>
      <c r="F2">
        <f>'PVC Conduit y Libre Halógeno'!H3</f>
        <v>50</v>
      </c>
      <c r="G2" t="str">
        <f>'PVC Conduit y Libre Halógeno'!I3</f>
        <v>Bolsa</v>
      </c>
      <c r="H2">
        <f>IFERROR(IF('PVC Conduit y Libre Halógeno'!J3="",0,'PVC Conduit y Libre Halógeno'!J3),0)</f>
        <v>0</v>
      </c>
      <c r="I2" s="58" t="str">
        <f>IF(H2&gt;0, MAX(I$1:I1)+1, "")</f>
        <v/>
      </c>
    </row>
    <row r="3" spans="1:9" x14ac:dyDescent="0.2">
      <c r="A3" t="s">
        <v>1439</v>
      </c>
      <c r="B3" t="str">
        <f>'PVC Conduit y Libre Halógeno'!A4</f>
        <v>Canalización Eléctrica</v>
      </c>
      <c r="C3" t="str">
        <f>'PVC Conduit y Libre Halógeno'!B4</f>
        <v>PVC CONDUIT</v>
      </c>
      <c r="D3">
        <f>'PVC Conduit y Libre Halógeno'!F4</f>
        <v>15302</v>
      </c>
      <c r="E3" t="str">
        <f>'PVC Conduit y Libre Halógeno'!G4</f>
        <v>PVC CONDUIT TUBO 3M 20 CLASE IV N</v>
      </c>
      <c r="F3">
        <f>'PVC Conduit y Libre Halógeno'!H4</f>
        <v>20</v>
      </c>
      <c r="G3" t="str">
        <f>'PVC Conduit y Libre Halógeno'!I4</f>
        <v>Bolsa</v>
      </c>
      <c r="H3">
        <f>IFERROR(IF('PVC Conduit y Libre Halógeno'!J4="",0,'PVC Conduit y Libre Halógeno'!J4),0)</f>
        <v>0</v>
      </c>
      <c r="I3" s="58" t="str">
        <f>IF(H3&gt;0, MAX(I$1:I2)+1, "")</f>
        <v/>
      </c>
    </row>
    <row r="4" spans="1:9" x14ac:dyDescent="0.2">
      <c r="A4" t="s">
        <v>1439</v>
      </c>
      <c r="B4" t="str">
        <f>'PVC Conduit y Libre Halógeno'!A5</f>
        <v>Canalización Eléctrica</v>
      </c>
      <c r="C4" t="str">
        <f>'PVC Conduit y Libre Halógeno'!B5</f>
        <v>PVC CONDUIT</v>
      </c>
      <c r="D4">
        <f>'PVC Conduit y Libre Halógeno'!F5</f>
        <v>15310</v>
      </c>
      <c r="E4" t="str">
        <f>'PVC Conduit y Libre Halógeno'!G5</f>
        <v>PVC CONDUIT TUBO 3M 25 CLASE III N</v>
      </c>
      <c r="F4">
        <f>'PVC Conduit y Libre Halógeno'!H5</f>
        <v>20</v>
      </c>
      <c r="G4" t="str">
        <f>'PVC Conduit y Libre Halógeno'!I5</f>
        <v>Bolsa</v>
      </c>
      <c r="H4">
        <f>IFERROR(IF('PVC Conduit y Libre Halógeno'!J5="",0,'PVC Conduit y Libre Halógeno'!J5),0)</f>
        <v>0</v>
      </c>
      <c r="I4" s="58" t="str">
        <f>IF(H4&gt;0, MAX(I$1:I3)+1, "")</f>
        <v/>
      </c>
    </row>
    <row r="5" spans="1:9" x14ac:dyDescent="0.2">
      <c r="A5" t="s">
        <v>1439</v>
      </c>
      <c r="B5" t="str">
        <f>'PVC Conduit y Libre Halógeno'!A6</f>
        <v>Canalización Eléctrica</v>
      </c>
      <c r="C5" t="str">
        <f>'PVC Conduit y Libre Halógeno'!B6</f>
        <v>PVC CONDUIT</v>
      </c>
      <c r="D5">
        <f>'PVC Conduit y Libre Halógeno'!F6</f>
        <v>15311</v>
      </c>
      <c r="E5" t="str">
        <f>'PVC Conduit y Libre Halógeno'!G6</f>
        <v>PVC CONDUIT TUBO 3M 32 CLASE III N</v>
      </c>
      <c r="F5">
        <f>'PVC Conduit y Libre Halógeno'!H6</f>
        <v>10</v>
      </c>
      <c r="G5" t="str">
        <f>'PVC Conduit y Libre Halógeno'!I6</f>
        <v>unitario</v>
      </c>
      <c r="H5">
        <f>IFERROR(IF('PVC Conduit y Libre Halógeno'!J6="",0,'PVC Conduit y Libre Halógeno'!J6),0)</f>
        <v>0</v>
      </c>
      <c r="I5" s="58" t="str">
        <f>IF(H5&gt;0, MAX(I$1:I4)+1, "")</f>
        <v/>
      </c>
    </row>
    <row r="6" spans="1:9" x14ac:dyDescent="0.2">
      <c r="A6" t="s">
        <v>1439</v>
      </c>
      <c r="B6" t="str">
        <f>'PVC Conduit y Libre Halógeno'!A7</f>
        <v>Canalización Eléctrica</v>
      </c>
      <c r="C6" t="str">
        <f>'PVC Conduit y Libre Halógeno'!B7</f>
        <v>PVC CONDUIT</v>
      </c>
      <c r="D6">
        <f>'PVC Conduit y Libre Halógeno'!F7</f>
        <v>15320</v>
      </c>
      <c r="E6" t="str">
        <f>'PVC Conduit y Libre Halógeno'!G7</f>
        <v>PVC CONDUIT TUBO 3M 40 CLASE II N</v>
      </c>
      <c r="F6">
        <f>'PVC Conduit y Libre Halógeno'!H7</f>
        <v>1</v>
      </c>
      <c r="G6" t="str">
        <f>'PVC Conduit y Libre Halógeno'!I7</f>
        <v>unitario</v>
      </c>
      <c r="H6">
        <f>IFERROR(IF('PVC Conduit y Libre Halógeno'!J7="",0,'PVC Conduit y Libre Halógeno'!J7),0)</f>
        <v>0</v>
      </c>
      <c r="I6" s="58" t="str">
        <f>IF(H6&gt;0, MAX(I$1:I5)+1, "")</f>
        <v/>
      </c>
    </row>
    <row r="7" spans="1:9" x14ac:dyDescent="0.2">
      <c r="A7" t="s">
        <v>1439</v>
      </c>
      <c r="B7" t="str">
        <f>'PVC Conduit y Libre Halógeno'!A8</f>
        <v>Canalización Eléctrica</v>
      </c>
      <c r="C7" t="str">
        <f>'PVC Conduit y Libre Halógeno'!B8</f>
        <v>PVC CONDUIT</v>
      </c>
      <c r="D7">
        <f>'PVC Conduit y Libre Halógeno'!F8</f>
        <v>15321</v>
      </c>
      <c r="E7" t="str">
        <f>'PVC Conduit y Libre Halógeno'!G8</f>
        <v>PVC CONDUIT TUBO 3M 50 CLASE II N</v>
      </c>
      <c r="F7">
        <f>'PVC Conduit y Libre Halógeno'!H8</f>
        <v>1</v>
      </c>
      <c r="G7" t="str">
        <f>'PVC Conduit y Libre Halógeno'!I8</f>
        <v>unitario</v>
      </c>
      <c r="H7">
        <f>IFERROR(IF('PVC Conduit y Libre Halógeno'!J8="",0,'PVC Conduit y Libre Halógeno'!J8),0)</f>
        <v>0</v>
      </c>
      <c r="I7" s="58" t="str">
        <f>IF(H7&gt;0, MAX(I$1:I6)+1, "")</f>
        <v/>
      </c>
    </row>
    <row r="8" spans="1:9" x14ac:dyDescent="0.2">
      <c r="A8" t="s">
        <v>1439</v>
      </c>
      <c r="B8" t="str">
        <f>'PVC Conduit y Libre Halógeno'!A9</f>
        <v>Canalización Eléctrica</v>
      </c>
      <c r="C8" t="str">
        <f>'PVC Conduit y Libre Halógeno'!B9</f>
        <v>PVC CONDUIT</v>
      </c>
      <c r="D8">
        <f>'PVC Conduit y Libre Halógeno'!F9</f>
        <v>15340</v>
      </c>
      <c r="E8" t="str">
        <f>'PVC Conduit y Libre Halógeno'!G9</f>
        <v>PVC CONDUIT TUBO 6M 16 CLASE IV N</v>
      </c>
      <c r="F8">
        <f>'PVC Conduit y Libre Halógeno'!H9</f>
        <v>25</v>
      </c>
      <c r="G8" t="str">
        <f>'PVC Conduit y Libre Halógeno'!I9</f>
        <v>Bolsa</v>
      </c>
      <c r="H8">
        <f>IFERROR(IF('PVC Conduit y Libre Halógeno'!J9="",0,'PVC Conduit y Libre Halógeno'!J9),0)</f>
        <v>0</v>
      </c>
      <c r="I8" s="58" t="str">
        <f>IF(H8&gt;0, MAX(I$1:I7)+1, "")</f>
        <v/>
      </c>
    </row>
    <row r="9" spans="1:9" x14ac:dyDescent="0.2">
      <c r="A9" t="s">
        <v>1439</v>
      </c>
      <c r="B9" t="str">
        <f>'PVC Conduit y Libre Halógeno'!A10</f>
        <v>Canalización Eléctrica</v>
      </c>
      <c r="C9" t="str">
        <f>'PVC Conduit y Libre Halógeno'!B10</f>
        <v>PVC CONDUIT</v>
      </c>
      <c r="D9">
        <f>'PVC Conduit y Libre Halógeno'!F10</f>
        <v>15341</v>
      </c>
      <c r="E9" t="str">
        <f>'PVC Conduit y Libre Halógeno'!G10</f>
        <v>PVC CONDUIT TUBO 6M 20 CLASE IV N</v>
      </c>
      <c r="F9">
        <f>'PVC Conduit y Libre Halógeno'!H10</f>
        <v>20</v>
      </c>
      <c r="G9" t="str">
        <f>'PVC Conduit y Libre Halógeno'!I10</f>
        <v>Bolsa</v>
      </c>
      <c r="H9">
        <f>IFERROR(IF('PVC Conduit y Libre Halógeno'!J10="",0,'PVC Conduit y Libre Halógeno'!J10),0)</f>
        <v>0</v>
      </c>
      <c r="I9" s="58" t="str">
        <f>IF(H9&gt;0, MAX(I$1:I8)+1, "")</f>
        <v/>
      </c>
    </row>
    <row r="10" spans="1:9" x14ac:dyDescent="0.2">
      <c r="A10" t="s">
        <v>1439</v>
      </c>
      <c r="B10" t="str">
        <f>'PVC Conduit y Libre Halógeno'!A11</f>
        <v>Canalización Eléctrica</v>
      </c>
      <c r="C10" t="str">
        <f>'PVC Conduit y Libre Halógeno'!B11</f>
        <v>PVC CONDUIT</v>
      </c>
      <c r="D10">
        <f>'PVC Conduit y Libre Halógeno'!F11</f>
        <v>15350</v>
      </c>
      <c r="E10" t="str">
        <f>'PVC Conduit y Libre Halógeno'!G11</f>
        <v>PVC CONDUIT TUBO 6M 25 CLASE III N</v>
      </c>
      <c r="F10">
        <f>'PVC Conduit y Libre Halógeno'!H11</f>
        <v>20</v>
      </c>
      <c r="G10" t="str">
        <f>'PVC Conduit y Libre Halógeno'!I11</f>
        <v>Bolsa</v>
      </c>
      <c r="H10">
        <f>IFERROR(IF('PVC Conduit y Libre Halógeno'!J11="",0,'PVC Conduit y Libre Halógeno'!J11),0)</f>
        <v>0</v>
      </c>
      <c r="I10" s="58" t="str">
        <f>IF(H10&gt;0, MAX(I$1:I9)+1, "")</f>
        <v/>
      </c>
    </row>
    <row r="11" spans="1:9" x14ac:dyDescent="0.2">
      <c r="A11" t="s">
        <v>1439</v>
      </c>
      <c r="B11" t="str">
        <f>'PVC Conduit y Libre Halógeno'!A12</f>
        <v>Canalización Eléctrica</v>
      </c>
      <c r="C11" t="str">
        <f>'PVC Conduit y Libre Halógeno'!B12</f>
        <v>PVC CONDUIT</v>
      </c>
      <c r="D11">
        <f>'PVC Conduit y Libre Halógeno'!F12</f>
        <v>15351</v>
      </c>
      <c r="E11" t="str">
        <f>'PVC Conduit y Libre Halógeno'!G12</f>
        <v>PVC CONDUIT TUBO 6M 32 CLASE III N</v>
      </c>
      <c r="F11">
        <f>'PVC Conduit y Libre Halógeno'!H12</f>
        <v>10</v>
      </c>
      <c r="G11" t="str">
        <f>'PVC Conduit y Libre Halógeno'!I12</f>
        <v>Bolsa</v>
      </c>
      <c r="H11">
        <f>IFERROR(IF('PVC Conduit y Libre Halógeno'!J12="",0,'PVC Conduit y Libre Halógeno'!J12),0)</f>
        <v>0</v>
      </c>
      <c r="I11" s="58" t="str">
        <f>IF(H11&gt;0, MAX(I$1:I10)+1, "")</f>
        <v/>
      </c>
    </row>
    <row r="12" spans="1:9" x14ac:dyDescent="0.2">
      <c r="A12" t="s">
        <v>1439</v>
      </c>
      <c r="B12" t="str">
        <f>'PVC Conduit y Libre Halógeno'!A13</f>
        <v>Canalización Eléctrica</v>
      </c>
      <c r="C12" t="str">
        <f>'PVC Conduit y Libre Halógeno'!B13</f>
        <v>PVC CONDUIT</v>
      </c>
      <c r="D12">
        <f>'PVC Conduit y Libre Halógeno'!F13</f>
        <v>15360</v>
      </c>
      <c r="E12" t="str">
        <f>'PVC Conduit y Libre Halógeno'!G13</f>
        <v>PVC CONDUIT TUBO 6M 40 CLASE II N</v>
      </c>
      <c r="F12">
        <f>'PVC Conduit y Libre Halógeno'!H13</f>
        <v>1</v>
      </c>
      <c r="G12" t="str">
        <f>'PVC Conduit y Libre Halógeno'!I13</f>
        <v>unitario</v>
      </c>
      <c r="H12">
        <f>IFERROR(IF('PVC Conduit y Libre Halógeno'!J13="",0,'PVC Conduit y Libre Halógeno'!J13),0)</f>
        <v>0</v>
      </c>
      <c r="I12" s="58" t="str">
        <f>IF(H12&gt;0, MAX(I$1:I11)+1, "")</f>
        <v/>
      </c>
    </row>
    <row r="13" spans="1:9" x14ac:dyDescent="0.2">
      <c r="A13" t="s">
        <v>1439</v>
      </c>
      <c r="B13" t="str">
        <f>'PVC Conduit y Libre Halógeno'!A14</f>
        <v>Canalización Eléctrica</v>
      </c>
      <c r="C13" t="str">
        <f>'PVC Conduit y Libre Halógeno'!B14</f>
        <v>PVC CONDUIT</v>
      </c>
      <c r="D13">
        <f>'PVC Conduit y Libre Halógeno'!F14</f>
        <v>15361</v>
      </c>
      <c r="E13" t="str">
        <f>'PVC Conduit y Libre Halógeno'!G14</f>
        <v>PVC CONDUIT TUBO 6M 50 CLASE II N</v>
      </c>
      <c r="F13">
        <f>'PVC Conduit y Libre Halógeno'!H14</f>
        <v>1</v>
      </c>
      <c r="G13" t="str">
        <f>'PVC Conduit y Libre Halógeno'!I14</f>
        <v>unitario</v>
      </c>
      <c r="H13">
        <f>IFERROR(IF('PVC Conduit y Libre Halógeno'!J14="",0,'PVC Conduit y Libre Halógeno'!J14),0)</f>
        <v>0</v>
      </c>
      <c r="I13" s="58" t="str">
        <f>IF(H13&gt;0, MAX(I$1:I12)+1, "")</f>
        <v/>
      </c>
    </row>
    <row r="14" spans="1:9" x14ac:dyDescent="0.2">
      <c r="A14" t="s">
        <v>1439</v>
      </c>
      <c r="B14" t="str">
        <f>'PVC Conduit y Libre Halógeno'!A15</f>
        <v>Canalización Eléctrica</v>
      </c>
      <c r="C14" t="str">
        <f>'PVC Conduit y Libre Halógeno'!B15</f>
        <v>PVC CONDUIT</v>
      </c>
      <c r="D14">
        <f>'PVC Conduit y Libre Halógeno'!F15</f>
        <v>15390</v>
      </c>
      <c r="E14" t="str">
        <f>'PVC Conduit y Libre Halógeno'!G15</f>
        <v>PVC CONDUIT TUBO CURVABLE 16 4422 FUERTE</v>
      </c>
      <c r="F14">
        <f>'PVC Conduit y Libre Halógeno'!H15</f>
        <v>1</v>
      </c>
      <c r="G14" t="str">
        <f>'PVC Conduit y Libre Halógeno'!I15</f>
        <v>Unitario</v>
      </c>
      <c r="H14">
        <f>IFERROR(IF('PVC Conduit y Libre Halógeno'!J15="",0,'PVC Conduit y Libre Halógeno'!J15),0)</f>
        <v>0</v>
      </c>
      <c r="I14" s="58" t="str">
        <f>IF(H14&gt;0, MAX(I$1:I13)+1, "")</f>
        <v/>
      </c>
    </row>
    <row r="15" spans="1:9" x14ac:dyDescent="0.2">
      <c r="A15" t="s">
        <v>1439</v>
      </c>
      <c r="B15" t="str">
        <f>'PVC Conduit y Libre Halógeno'!A16</f>
        <v>Canalización Eléctrica</v>
      </c>
      <c r="C15" t="str">
        <f>'PVC Conduit y Libre Halógeno'!B16</f>
        <v>PVC CONDUIT</v>
      </c>
      <c r="D15">
        <f>'PVC Conduit y Libre Halógeno'!F16</f>
        <v>15391</v>
      </c>
      <c r="E15" t="str">
        <f>'PVC Conduit y Libre Halógeno'!G16</f>
        <v>PVC CONDUIT TUBO CURVABLE 20 4422 FUERTE</v>
      </c>
      <c r="F15">
        <f>'PVC Conduit y Libre Halógeno'!H16</f>
        <v>1</v>
      </c>
      <c r="G15" t="str">
        <f>'PVC Conduit y Libre Halógeno'!I16</f>
        <v>Unitario</v>
      </c>
      <c r="H15">
        <f>IFERROR(IF('PVC Conduit y Libre Halógeno'!J16="",0,'PVC Conduit y Libre Halógeno'!J16),0)</f>
        <v>0</v>
      </c>
      <c r="I15" s="58" t="str">
        <f>IF(H15&gt;0, MAX(I$1:I14)+1, "")</f>
        <v/>
      </c>
    </row>
    <row r="16" spans="1:9" x14ac:dyDescent="0.2">
      <c r="A16" t="s">
        <v>1439</v>
      </c>
      <c r="B16" t="str">
        <f>'PVC Conduit y Libre Halógeno'!A17</f>
        <v>Canalización Eléctrica</v>
      </c>
      <c r="C16" t="str">
        <f>'PVC Conduit y Libre Halógeno'!B17</f>
        <v>PVC CONDUIT</v>
      </c>
      <c r="D16">
        <f>'PVC Conduit y Libre Halógeno'!F17</f>
        <v>15392</v>
      </c>
      <c r="E16" t="str">
        <f>'PVC Conduit y Libre Halógeno'!G17</f>
        <v>PVC CONDUIT TUBO CURVABLE 25 4422 FUERTE</v>
      </c>
      <c r="F16">
        <f>'PVC Conduit y Libre Halógeno'!H17</f>
        <v>1</v>
      </c>
      <c r="G16" t="str">
        <f>'PVC Conduit y Libre Halógeno'!I17</f>
        <v>Unitario</v>
      </c>
      <c r="H16">
        <f>IFERROR(IF('PVC Conduit y Libre Halógeno'!J17="",0,'PVC Conduit y Libre Halógeno'!J17),0)</f>
        <v>0</v>
      </c>
      <c r="I16" s="58" t="str">
        <f>IF(H16&gt;0, MAX(I$1:I15)+1, "")</f>
        <v/>
      </c>
    </row>
    <row r="17" spans="1:9" x14ac:dyDescent="0.2">
      <c r="A17" t="s">
        <v>1439</v>
      </c>
      <c r="B17" t="str">
        <f>'PVC Conduit y Libre Halógeno'!A18</f>
        <v>Canalización Eléctrica</v>
      </c>
      <c r="C17" t="str">
        <f>'PVC Conduit y Libre Halógeno'!B18</f>
        <v>PVC CONDUIT</v>
      </c>
      <c r="D17">
        <f>'PVC Conduit y Libre Halógeno'!F18</f>
        <v>53001</v>
      </c>
      <c r="E17" t="str">
        <f>'PVC Conduit y Libre Halógeno'!G18</f>
        <v>PVC CONDUIT FT CURVA 90° 16 N</v>
      </c>
      <c r="F17">
        <f>'PVC Conduit y Libre Halógeno'!H18</f>
        <v>50</v>
      </c>
      <c r="G17" t="str">
        <f>'PVC Conduit y Libre Halógeno'!I18</f>
        <v>bolsa</v>
      </c>
      <c r="H17">
        <f>IFERROR(IF('PVC Conduit y Libre Halógeno'!J18="",0,'PVC Conduit y Libre Halógeno'!J18),0)</f>
        <v>0</v>
      </c>
      <c r="I17" s="58" t="str">
        <f>IF(H17&gt;0, MAX(I$1:I16)+1, "")</f>
        <v/>
      </c>
    </row>
    <row r="18" spans="1:9" x14ac:dyDescent="0.2">
      <c r="A18" t="s">
        <v>1439</v>
      </c>
      <c r="B18" t="str">
        <f>'PVC Conduit y Libre Halógeno'!A19</f>
        <v>Canalización Eléctrica</v>
      </c>
      <c r="C18" t="str">
        <f>'PVC Conduit y Libre Halógeno'!B19</f>
        <v>PVC CONDUIT</v>
      </c>
      <c r="D18">
        <f>'PVC Conduit y Libre Halógeno'!F19</f>
        <v>353002</v>
      </c>
      <c r="E18" t="str">
        <f>'PVC Conduit y Libre Halógeno'!G19</f>
        <v>PVC CONDUIT FT CURVA 90° 20 I</v>
      </c>
      <c r="F18">
        <f>'PVC Conduit y Libre Halógeno'!H19</f>
        <v>30</v>
      </c>
      <c r="G18" t="str">
        <f>'PVC Conduit y Libre Halógeno'!I19</f>
        <v>bolsa</v>
      </c>
      <c r="H18">
        <f>IFERROR(IF('PVC Conduit y Libre Halógeno'!J19="",0,'PVC Conduit y Libre Halógeno'!J19),0)</f>
        <v>0</v>
      </c>
      <c r="I18" s="58" t="str">
        <f>IF(H18&gt;0, MAX(I$1:I17)+1, "")</f>
        <v/>
      </c>
    </row>
    <row r="19" spans="1:9" x14ac:dyDescent="0.2">
      <c r="A19" t="s">
        <v>1439</v>
      </c>
      <c r="B19" t="str">
        <f>'PVC Conduit y Libre Halógeno'!A20</f>
        <v>Canalización Eléctrica</v>
      </c>
      <c r="C19" t="str">
        <f>'PVC Conduit y Libre Halógeno'!B20</f>
        <v>PVC CONDUIT</v>
      </c>
      <c r="D19">
        <f>'PVC Conduit y Libre Halógeno'!F20</f>
        <v>353003</v>
      </c>
      <c r="E19" t="str">
        <f>'PVC Conduit y Libre Halógeno'!G20</f>
        <v>PVC CONDUIT FT CURVA 90° 25 I</v>
      </c>
      <c r="F19">
        <f>'PVC Conduit y Libre Halógeno'!H20</f>
        <v>20</v>
      </c>
      <c r="G19" t="str">
        <f>'PVC Conduit y Libre Halógeno'!I20</f>
        <v>bolsa</v>
      </c>
      <c r="H19">
        <f>IFERROR(IF('PVC Conduit y Libre Halógeno'!J20="",0,'PVC Conduit y Libre Halógeno'!J20),0)</f>
        <v>0</v>
      </c>
      <c r="I19" s="58" t="str">
        <f>IF(H19&gt;0, MAX(I$1:I18)+1, "")</f>
        <v/>
      </c>
    </row>
    <row r="20" spans="1:9" x14ac:dyDescent="0.2">
      <c r="A20" t="s">
        <v>1439</v>
      </c>
      <c r="B20" t="str">
        <f>'PVC Conduit y Libre Halógeno'!A21</f>
        <v>Canalización Eléctrica</v>
      </c>
      <c r="C20" t="str">
        <f>'PVC Conduit y Libre Halógeno'!B21</f>
        <v>PVC CONDUIT</v>
      </c>
      <c r="D20">
        <f>'PVC Conduit y Libre Halógeno'!F21</f>
        <v>353004</v>
      </c>
      <c r="E20" t="str">
        <f>'PVC Conduit y Libre Halógeno'!G21</f>
        <v>PVC CONDUIT FT CURVA 90° 32 I</v>
      </c>
      <c r="F20">
        <f>'PVC Conduit y Libre Halógeno'!H21</f>
        <v>20</v>
      </c>
      <c r="G20" t="str">
        <f>'PVC Conduit y Libre Halógeno'!I21</f>
        <v>bolsa</v>
      </c>
      <c r="H20">
        <f>IFERROR(IF('PVC Conduit y Libre Halógeno'!J21="",0,'PVC Conduit y Libre Halógeno'!J21),0)</f>
        <v>0</v>
      </c>
      <c r="I20" s="58" t="str">
        <f>IF(H20&gt;0, MAX(I$1:I19)+1, "")</f>
        <v/>
      </c>
    </row>
    <row r="21" spans="1:9" x14ac:dyDescent="0.2">
      <c r="A21" t="s">
        <v>1439</v>
      </c>
      <c r="B21" t="str">
        <f>'PVC Conduit y Libre Halógeno'!A22</f>
        <v>Canalización Eléctrica</v>
      </c>
      <c r="C21" t="str">
        <f>'PVC Conduit y Libre Halógeno'!B22</f>
        <v>PVC CONDUIT</v>
      </c>
      <c r="D21">
        <f>'PVC Conduit y Libre Halógeno'!F22</f>
        <v>353101</v>
      </c>
      <c r="E21" t="str">
        <f>'PVC Conduit y Libre Halógeno'!G22</f>
        <v>PVC CONDUIT FT COPLA 16 I</v>
      </c>
      <c r="F21">
        <f>'PVC Conduit y Libre Halógeno'!H22</f>
        <v>50</v>
      </c>
      <c r="G21" t="str">
        <f>'PVC Conduit y Libre Halógeno'!I22</f>
        <v>bolsa</v>
      </c>
      <c r="H21">
        <f>IFERROR(IF('PVC Conduit y Libre Halógeno'!J22="",0,'PVC Conduit y Libre Halógeno'!J22),0)</f>
        <v>0</v>
      </c>
      <c r="I21" s="58" t="str">
        <f>IF(H21&gt;0, MAX(I$1:I20)+1, "")</f>
        <v/>
      </c>
    </row>
    <row r="22" spans="1:9" x14ac:dyDescent="0.2">
      <c r="A22" t="s">
        <v>1439</v>
      </c>
      <c r="B22" t="str">
        <f>'PVC Conduit y Libre Halógeno'!A23</f>
        <v>Canalización Eléctrica</v>
      </c>
      <c r="C22" t="str">
        <f>'PVC Conduit y Libre Halógeno'!B23</f>
        <v>PVC CONDUIT</v>
      </c>
      <c r="D22">
        <f>'PVC Conduit y Libre Halógeno'!F23</f>
        <v>353102</v>
      </c>
      <c r="E22" t="str">
        <f>'PVC Conduit y Libre Halógeno'!G23</f>
        <v>PVC CONDUIT FT COPLA 20 I</v>
      </c>
      <c r="F22">
        <f>'PVC Conduit y Libre Halógeno'!H23</f>
        <v>50</v>
      </c>
      <c r="G22" t="str">
        <f>'PVC Conduit y Libre Halógeno'!I23</f>
        <v>bolsa</v>
      </c>
      <c r="H22">
        <f>IFERROR(IF('PVC Conduit y Libre Halógeno'!J23="",0,'PVC Conduit y Libre Halógeno'!J23),0)</f>
        <v>0</v>
      </c>
      <c r="I22" s="58" t="str">
        <f>IF(H22&gt;0, MAX(I$1:I21)+1, "")</f>
        <v/>
      </c>
    </row>
    <row r="23" spans="1:9" x14ac:dyDescent="0.2">
      <c r="A23" t="s">
        <v>1439</v>
      </c>
      <c r="B23" t="str">
        <f>'PVC Conduit y Libre Halógeno'!A24</f>
        <v>Canalización Eléctrica</v>
      </c>
      <c r="C23" t="str">
        <f>'PVC Conduit y Libre Halógeno'!B24</f>
        <v>PVC CONDUIT</v>
      </c>
      <c r="D23">
        <f>'PVC Conduit y Libre Halógeno'!F24</f>
        <v>353103</v>
      </c>
      <c r="E23" t="str">
        <f>'PVC Conduit y Libre Halógeno'!G24</f>
        <v>PVC CONDUIT FT COPLA 25 I</v>
      </c>
      <c r="F23">
        <f>'PVC Conduit y Libre Halógeno'!H24</f>
        <v>20</v>
      </c>
      <c r="G23" t="str">
        <f>'PVC Conduit y Libre Halógeno'!I24</f>
        <v>bolsa</v>
      </c>
      <c r="H23">
        <f>IFERROR(IF('PVC Conduit y Libre Halógeno'!J24="",0,'PVC Conduit y Libre Halógeno'!J24),0)</f>
        <v>0</v>
      </c>
      <c r="I23" s="58" t="str">
        <f>IF(H23&gt;0, MAX(I$1:I22)+1, "")</f>
        <v/>
      </c>
    </row>
    <row r="24" spans="1:9" x14ac:dyDescent="0.2">
      <c r="A24" t="s">
        <v>1439</v>
      </c>
      <c r="B24" t="str">
        <f>'PVC Conduit y Libre Halógeno'!A25</f>
        <v>Canalización Eléctrica</v>
      </c>
      <c r="C24" t="str">
        <f>'PVC Conduit y Libre Halógeno'!B25</f>
        <v>PVC CONDUIT</v>
      </c>
      <c r="D24">
        <f>'PVC Conduit y Libre Halógeno'!F25</f>
        <v>353104</v>
      </c>
      <c r="E24" t="str">
        <f>'PVC Conduit y Libre Halógeno'!G25</f>
        <v>PVC CONDUIT FT COPLA 32 I</v>
      </c>
      <c r="F24">
        <f>'PVC Conduit y Libre Halógeno'!H25</f>
        <v>10</v>
      </c>
      <c r="G24" t="str">
        <f>'PVC Conduit y Libre Halógeno'!I25</f>
        <v>bolsa</v>
      </c>
      <c r="H24">
        <f>IFERROR(IF('PVC Conduit y Libre Halógeno'!J25="",0,'PVC Conduit y Libre Halógeno'!J25),0)</f>
        <v>0</v>
      </c>
      <c r="I24" s="58" t="str">
        <f>IF(H24&gt;0, MAX(I$1:I23)+1, "")</f>
        <v/>
      </c>
    </row>
    <row r="25" spans="1:9" x14ac:dyDescent="0.2">
      <c r="A25" t="s">
        <v>1439</v>
      </c>
      <c r="B25" t="str">
        <f>'PVC Conduit y Libre Halógeno'!A26</f>
        <v>Canalización Eléctrica</v>
      </c>
      <c r="C25" t="str">
        <f>'PVC Conduit y Libre Halógeno'!B26</f>
        <v>PVC CONDUIT</v>
      </c>
      <c r="D25">
        <f>'PVC Conduit y Libre Halógeno'!F26</f>
        <v>353202</v>
      </c>
      <c r="E25" t="str">
        <f>'PVC Conduit y Libre Halógeno'!G26</f>
        <v>PVC CONDUIT FT TERMINALIN C/TUERCA 20 I</v>
      </c>
      <c r="F25">
        <f>'PVC Conduit y Libre Halógeno'!H26</f>
        <v>50</v>
      </c>
      <c r="G25" t="str">
        <f>'PVC Conduit y Libre Halógeno'!I26</f>
        <v>bolsa</v>
      </c>
      <c r="H25">
        <f>IFERROR(IF('PVC Conduit y Libre Halógeno'!J26="",0,'PVC Conduit y Libre Halógeno'!J26),0)</f>
        <v>0</v>
      </c>
      <c r="I25" s="58" t="str">
        <f>IF(H25&gt;0, MAX(I$1:I24)+1, "")</f>
        <v/>
      </c>
    </row>
    <row r="26" spans="1:9" x14ac:dyDescent="0.2">
      <c r="A26" t="s">
        <v>1439</v>
      </c>
      <c r="B26" t="str">
        <f>'PVC Conduit y Libre Halógeno'!A27</f>
        <v>Canalización Eléctrica</v>
      </c>
      <c r="C26" t="str">
        <f>'PVC Conduit y Libre Halógeno'!B27</f>
        <v>PVC CONDUIT</v>
      </c>
      <c r="D26">
        <f>'PVC Conduit y Libre Halógeno'!F27</f>
        <v>353203</v>
      </c>
      <c r="E26" t="str">
        <f>'PVC Conduit y Libre Halógeno'!G27</f>
        <v>PVC CONDUIT FT TERMINALIN C/TUERCA 25 I</v>
      </c>
      <c r="F26">
        <f>'PVC Conduit y Libre Halógeno'!H27</f>
        <v>20</v>
      </c>
      <c r="G26" t="str">
        <f>'PVC Conduit y Libre Halógeno'!I27</f>
        <v>bolsa</v>
      </c>
      <c r="H26">
        <f>IFERROR(IF('PVC Conduit y Libre Halógeno'!J27="",0,'PVC Conduit y Libre Halógeno'!J27),0)</f>
        <v>0</v>
      </c>
      <c r="I26" s="58" t="str">
        <f>IF(H26&gt;0, MAX(I$1:I25)+1, "")</f>
        <v/>
      </c>
    </row>
    <row r="27" spans="1:9" x14ac:dyDescent="0.2">
      <c r="A27" t="s">
        <v>1439</v>
      </c>
      <c r="B27" t="str">
        <f>'PVC Conduit y Libre Halógeno'!A28</f>
        <v>Canalización Eléctrica</v>
      </c>
      <c r="C27" t="str">
        <f>'PVC Conduit y Libre Halógeno'!B28</f>
        <v>PVC CONDUIT</v>
      </c>
      <c r="D27">
        <f>'PVC Conduit y Libre Halógeno'!F28</f>
        <v>353204</v>
      </c>
      <c r="E27" t="str">
        <f>'PVC Conduit y Libre Halógeno'!G28</f>
        <v>PVC CONDUIT FT TERMINALIN C/TUERCA 32 I</v>
      </c>
      <c r="F27">
        <f>'PVC Conduit y Libre Halógeno'!H28</f>
        <v>10</v>
      </c>
      <c r="G27" t="str">
        <f>'PVC Conduit y Libre Halógeno'!I28</f>
        <v>Bolsa</v>
      </c>
      <c r="H27">
        <f>IFERROR(IF('PVC Conduit y Libre Halógeno'!J28="",0,'PVC Conduit y Libre Halógeno'!J28),0)</f>
        <v>0</v>
      </c>
      <c r="I27" s="58" t="str">
        <f>IF(H27&gt;0, MAX(I$1:I26)+1, "")</f>
        <v/>
      </c>
    </row>
    <row r="28" spans="1:9" x14ac:dyDescent="0.2">
      <c r="A28" t="s">
        <v>1439</v>
      </c>
      <c r="B28" t="str">
        <f>'PVC Conduit y Libre Halógeno'!A29</f>
        <v>Canalización Eléctrica</v>
      </c>
      <c r="C28" t="str">
        <f>'PVC Conduit y Libre Halógeno'!B29</f>
        <v>PVC CONDUIT</v>
      </c>
      <c r="D28">
        <f>'PVC Conduit y Libre Halógeno'!F29</f>
        <v>353501</v>
      </c>
      <c r="E28" t="str">
        <f>'PVC Conduit y Libre Halógeno'!G29</f>
        <v>SALIDA CAJA CONDUIT 16MM I</v>
      </c>
      <c r="F28">
        <f>'PVC Conduit y Libre Halógeno'!H29</f>
        <v>50</v>
      </c>
      <c r="G28" t="str">
        <f>'PVC Conduit y Libre Halógeno'!I29</f>
        <v>bolsa</v>
      </c>
      <c r="H28">
        <f>IFERROR(IF('PVC Conduit y Libre Halógeno'!J29="",0,'PVC Conduit y Libre Halógeno'!J29),0)</f>
        <v>0</v>
      </c>
      <c r="I28" s="58" t="str">
        <f>IF(H28&gt;0, MAX(I$1:I27)+1, "")</f>
        <v/>
      </c>
    </row>
    <row r="29" spans="1:9" x14ac:dyDescent="0.2">
      <c r="A29" t="s">
        <v>1439</v>
      </c>
      <c r="B29" t="str">
        <f>'PVC Conduit y Libre Halógeno'!A30</f>
        <v>Canalización Eléctrica</v>
      </c>
      <c r="C29" t="str">
        <f>'PVC Conduit y Libre Halógeno'!B30</f>
        <v>PVC CONDUIT</v>
      </c>
      <c r="D29">
        <f>'PVC Conduit y Libre Halógeno'!F30</f>
        <v>353502</v>
      </c>
      <c r="E29" t="str">
        <f>'PVC Conduit y Libre Halógeno'!G30</f>
        <v>SALIDA CAJA CONDUIT 20MM I</v>
      </c>
      <c r="F29">
        <f>'PVC Conduit y Libre Halógeno'!H30</f>
        <v>30</v>
      </c>
      <c r="G29" t="str">
        <f>'PVC Conduit y Libre Halógeno'!I30</f>
        <v>bolsa</v>
      </c>
      <c r="H29">
        <f>IFERROR(IF('PVC Conduit y Libre Halógeno'!J30="",0,'PVC Conduit y Libre Halógeno'!J30),0)</f>
        <v>0</v>
      </c>
      <c r="I29" s="58" t="str">
        <f>IF(H29&gt;0, MAX(I$1:I28)+1, "")</f>
        <v/>
      </c>
    </row>
    <row r="30" spans="1:9" x14ac:dyDescent="0.2">
      <c r="A30" t="s">
        <v>1439</v>
      </c>
      <c r="B30" t="str">
        <f>'PVC Conduit y Libre Halógeno'!A31</f>
        <v>Canalización Eléctrica</v>
      </c>
      <c r="C30" t="str">
        <f>'PVC Conduit y Libre Halógeno'!B31</f>
        <v>PVC CONDUIT</v>
      </c>
      <c r="D30">
        <f>'PVC Conduit y Libre Halógeno'!F31</f>
        <v>353503</v>
      </c>
      <c r="E30" t="str">
        <f>'PVC Conduit y Libre Halógeno'!G31</f>
        <v>SALIDA CAJA CONDUIT 25MM I</v>
      </c>
      <c r="F30">
        <f>'PVC Conduit y Libre Halógeno'!H31</f>
        <v>28</v>
      </c>
      <c r="G30" t="str">
        <f>'PVC Conduit y Libre Halógeno'!I31</f>
        <v>bolsa</v>
      </c>
      <c r="H30">
        <f>IFERROR(IF('PVC Conduit y Libre Halógeno'!J31="",0,'PVC Conduit y Libre Halógeno'!J31),0)</f>
        <v>0</v>
      </c>
      <c r="I30" s="58" t="str">
        <f>IF(H30&gt;0, MAX(I$1:I29)+1, "")</f>
        <v/>
      </c>
    </row>
    <row r="31" spans="1:9" x14ac:dyDescent="0.2">
      <c r="A31" t="s">
        <v>1439</v>
      </c>
      <c r="B31" t="str">
        <f>'PVC Conduit y Libre Halógeno'!A32</f>
        <v>Canalización Eléctrica</v>
      </c>
      <c r="C31" t="str">
        <f>'PVC Conduit y Libre Halógeno'!B32</f>
        <v>PVC CONDUIT</v>
      </c>
      <c r="D31">
        <f>'PVC Conduit y Libre Halógeno'!F32</f>
        <v>353504</v>
      </c>
      <c r="E31" t="str">
        <f>'PVC Conduit y Libre Halógeno'!G32</f>
        <v>SALIDA CAJA CONDUIT 32MM I</v>
      </c>
      <c r="F31">
        <f>'PVC Conduit y Libre Halógeno'!H32</f>
        <v>14</v>
      </c>
      <c r="G31" t="str">
        <f>'PVC Conduit y Libre Halógeno'!I32</f>
        <v>bolsa</v>
      </c>
      <c r="H31">
        <f>IFERROR(IF('PVC Conduit y Libre Halógeno'!J32="",0,'PVC Conduit y Libre Halógeno'!J32),0)</f>
        <v>0</v>
      </c>
      <c r="I31" s="58" t="str">
        <f>IF(H31&gt;0, MAX(I$1:I30)+1, "")</f>
        <v/>
      </c>
    </row>
    <row r="32" spans="1:9" x14ac:dyDescent="0.2">
      <c r="A32" t="s">
        <v>1439</v>
      </c>
      <c r="B32" t="str">
        <f>'PVC Conduit y Libre Halógeno'!A33</f>
        <v>Canalización Eléctrica</v>
      </c>
      <c r="C32" t="str">
        <f>'PVC Conduit y Libre Halógeno'!B33</f>
        <v>PVC CONDUIT</v>
      </c>
      <c r="D32">
        <f>'PVC Conduit y Libre Halógeno'!F33</f>
        <v>353301</v>
      </c>
      <c r="E32" t="str">
        <f>'PVC Conduit y Libre Halógeno'!G33</f>
        <v>PVC CONDUIT FT ABRAZADERA 16 I</v>
      </c>
      <c r="F32">
        <f>'PVC Conduit y Libre Halógeno'!H33</f>
        <v>50</v>
      </c>
      <c r="G32" t="str">
        <f>'PVC Conduit y Libre Halógeno'!I33</f>
        <v>bolsa</v>
      </c>
      <c r="H32">
        <f>IFERROR(IF('PVC Conduit y Libre Halógeno'!J33="",0,'PVC Conduit y Libre Halógeno'!J33),0)</f>
        <v>0</v>
      </c>
      <c r="I32" s="58" t="str">
        <f>IF(H32&gt;0, MAX(I$1:I31)+1, "")</f>
        <v/>
      </c>
    </row>
    <row r="33" spans="1:9" x14ac:dyDescent="0.2">
      <c r="A33" t="s">
        <v>1439</v>
      </c>
      <c r="B33" t="str">
        <f>'PVC Conduit y Libre Halógeno'!A34</f>
        <v>Canalización Eléctrica</v>
      </c>
      <c r="C33" t="str">
        <f>'PVC Conduit y Libre Halógeno'!B34</f>
        <v>PVC CONDUIT</v>
      </c>
      <c r="D33">
        <f>'PVC Conduit y Libre Halógeno'!F34</f>
        <v>353302</v>
      </c>
      <c r="E33" t="str">
        <f>'PVC Conduit y Libre Halógeno'!G34</f>
        <v>PVC CONDUIT FT ABRAZADERA 20 I</v>
      </c>
      <c r="F33">
        <f>'PVC Conduit y Libre Halógeno'!H34</f>
        <v>50</v>
      </c>
      <c r="G33" t="str">
        <f>'PVC Conduit y Libre Halógeno'!I34</f>
        <v>bolsa</v>
      </c>
      <c r="H33">
        <f>IFERROR(IF('PVC Conduit y Libre Halógeno'!J34="",0,'PVC Conduit y Libre Halógeno'!J34),0)</f>
        <v>0</v>
      </c>
      <c r="I33" s="58" t="str">
        <f>IF(H33&gt;0, MAX(I$1:I32)+1, "")</f>
        <v/>
      </c>
    </row>
    <row r="34" spans="1:9" x14ac:dyDescent="0.2">
      <c r="A34" t="s">
        <v>1439</v>
      </c>
      <c r="B34" t="str">
        <f>'PVC Conduit y Libre Halógeno'!A35</f>
        <v>Canalización Eléctrica</v>
      </c>
      <c r="C34" t="str">
        <f>'PVC Conduit y Libre Halógeno'!B35</f>
        <v>PVC CONDUIT</v>
      </c>
      <c r="D34">
        <f>'PVC Conduit y Libre Halógeno'!F35</f>
        <v>353303</v>
      </c>
      <c r="E34" t="str">
        <f>'PVC Conduit y Libre Halógeno'!G35</f>
        <v>PVC CONDUIT FT ABRAZADERA 25 I</v>
      </c>
      <c r="F34">
        <f>'PVC Conduit y Libre Halógeno'!H35</f>
        <v>20</v>
      </c>
      <c r="G34" t="str">
        <f>'PVC Conduit y Libre Halógeno'!I35</f>
        <v>bolsa</v>
      </c>
      <c r="H34">
        <f>IFERROR(IF('PVC Conduit y Libre Halógeno'!J35="",0,'PVC Conduit y Libre Halógeno'!J35),0)</f>
        <v>0</v>
      </c>
      <c r="I34" s="58" t="str">
        <f>IF(H34&gt;0, MAX(I$1:I33)+1, "")</f>
        <v/>
      </c>
    </row>
    <row r="35" spans="1:9" x14ac:dyDescent="0.2">
      <c r="A35" t="s">
        <v>1439</v>
      </c>
      <c r="B35" t="str">
        <f>'PVC Conduit y Libre Halógeno'!A36</f>
        <v>Canalización Eléctrica</v>
      </c>
      <c r="C35" t="str">
        <f>'PVC Conduit y Libre Halógeno'!B36</f>
        <v>PVC CONDUIT</v>
      </c>
      <c r="D35">
        <f>'PVC Conduit y Libre Halógeno'!F36</f>
        <v>353304</v>
      </c>
      <c r="E35" t="str">
        <f>'PVC Conduit y Libre Halógeno'!G36</f>
        <v>PVC CONDUIT FT ABRAZADERA 32 I</v>
      </c>
      <c r="F35">
        <f>'PVC Conduit y Libre Halógeno'!H36</f>
        <v>10</v>
      </c>
      <c r="G35" t="str">
        <f>'PVC Conduit y Libre Halógeno'!I36</f>
        <v>bolsa</v>
      </c>
      <c r="H35">
        <f>IFERROR(IF('PVC Conduit y Libre Halógeno'!J36="",0,'PVC Conduit y Libre Halógeno'!J36),0)</f>
        <v>0</v>
      </c>
      <c r="I35" s="58" t="str">
        <f>IF(H35&gt;0, MAX(I$1:I34)+1, "")</f>
        <v/>
      </c>
    </row>
    <row r="36" spans="1:9" x14ac:dyDescent="0.2">
      <c r="A36" t="s">
        <v>1439</v>
      </c>
      <c r="B36" t="str">
        <f>'PVC Conduit y Libre Halógeno'!A37</f>
        <v>Canalización Eléctrica</v>
      </c>
      <c r="C36" t="str">
        <f>'PVC Conduit y Libre Halógeno'!B37</f>
        <v>PVC CONDUIT</v>
      </c>
      <c r="D36">
        <f>'PVC Conduit y Libre Halógeno'!F37</f>
        <v>53505</v>
      </c>
      <c r="E36" t="str">
        <f>'PVC Conduit y Libre Halógeno'!G37</f>
        <v>PVC CONDUIT CAMARA REGISTRO 110X20</v>
      </c>
      <c r="F36">
        <f>'PVC Conduit y Libre Halógeno'!H37</f>
        <v>1</v>
      </c>
      <c r="G36" t="str">
        <f>'PVC Conduit y Libre Halógeno'!I37</f>
        <v>Unitario</v>
      </c>
      <c r="H36">
        <f>IFERROR(IF('PVC Conduit y Libre Halógeno'!J37="",0,'PVC Conduit y Libre Halógeno'!J37),0)</f>
        <v>0</v>
      </c>
      <c r="I36" s="58" t="str">
        <f>IF(H36&gt;0, MAX(I$1:I35)+1, "")</f>
        <v/>
      </c>
    </row>
    <row r="37" spans="1:9" x14ac:dyDescent="0.2">
      <c r="A37" t="s">
        <v>1439</v>
      </c>
      <c r="B37" t="str">
        <f>'PVC Conduit y Libre Halógeno'!A38</f>
        <v>Canalización Eléctrica</v>
      </c>
      <c r="C37" t="str">
        <f>'PVC Conduit y Libre Halógeno'!B38</f>
        <v>PVC CONDUIT</v>
      </c>
      <c r="D37">
        <f>'PVC Conduit y Libre Halógeno'!F38</f>
        <v>53506</v>
      </c>
      <c r="E37" t="str">
        <f>'PVC Conduit y Libre Halógeno'!G38</f>
        <v>PVC CONDUIT CAMARA REGISTRO 110X25</v>
      </c>
      <c r="F37">
        <f>'PVC Conduit y Libre Halógeno'!H38</f>
        <v>1</v>
      </c>
      <c r="G37" t="str">
        <f>'PVC Conduit y Libre Halógeno'!I38</f>
        <v>Unitario</v>
      </c>
      <c r="H37">
        <f>IFERROR(IF('PVC Conduit y Libre Halógeno'!J38="",0,'PVC Conduit y Libre Halógeno'!J38),0)</f>
        <v>0</v>
      </c>
      <c r="I37" s="58" t="str">
        <f>IF(H37&gt;0, MAX(I$1:I36)+1, "")</f>
        <v/>
      </c>
    </row>
    <row r="38" spans="1:9" x14ac:dyDescent="0.2">
      <c r="A38" t="s">
        <v>1439</v>
      </c>
      <c r="B38" t="str">
        <f>'PVC Conduit y Libre Halógeno'!A39</f>
        <v>Canalización Eléctrica</v>
      </c>
      <c r="C38" t="str">
        <f>'PVC Conduit y Libre Halógeno'!B39</f>
        <v>PVC CONDUIT</v>
      </c>
      <c r="D38">
        <f>'PVC Conduit y Libre Halógeno'!F39</f>
        <v>53401</v>
      </c>
      <c r="E38" t="str">
        <f>'PVC Conduit y Libre Halógeno'!G39</f>
        <v>CAJA CONDUIT TABIQUE C/ORE MET 16-20 GRI</v>
      </c>
      <c r="F38">
        <f>'PVC Conduit y Libre Halógeno'!H39</f>
        <v>10</v>
      </c>
      <c r="G38" t="str">
        <f>'PVC Conduit y Libre Halógeno'!I39</f>
        <v>Unitario</v>
      </c>
      <c r="H38">
        <f>IFERROR(IF('PVC Conduit y Libre Halógeno'!J39="",0,'PVC Conduit y Libre Halógeno'!J39),0)</f>
        <v>0</v>
      </c>
      <c r="I38" s="58" t="str">
        <f>IF(H38&gt;0, MAX(I$1:I37)+1, "")</f>
        <v/>
      </c>
    </row>
    <row r="39" spans="1:9" x14ac:dyDescent="0.2">
      <c r="A39" t="s">
        <v>1439</v>
      </c>
      <c r="B39" t="str">
        <f>'PVC Conduit y Libre Halógeno'!A40</f>
        <v>Canalización Eléctrica</v>
      </c>
      <c r="C39" t="str">
        <f>'PVC Conduit y Libre Halógeno'!B40</f>
        <v>PVC CONDUIT</v>
      </c>
      <c r="D39">
        <f>'PVC Conduit y Libre Halógeno'!F40</f>
        <v>53402</v>
      </c>
      <c r="E39" t="str">
        <f>'PVC Conduit y Libre Halógeno'!G40</f>
        <v>PVC CONDUIT CAJA CORRIENTE 16-20 N GRI</v>
      </c>
      <c r="F39">
        <f>'PVC Conduit y Libre Halógeno'!H40</f>
        <v>10</v>
      </c>
      <c r="G39" t="str">
        <f>'PVC Conduit y Libre Halógeno'!I40</f>
        <v>Unitario</v>
      </c>
      <c r="H39">
        <f>IFERROR(IF('PVC Conduit y Libre Halógeno'!J40="",0,'PVC Conduit y Libre Halógeno'!J40),0)</f>
        <v>0</v>
      </c>
      <c r="I39" s="58" t="str">
        <f>IF(H39&gt;0, MAX(I$1:I38)+1, "")</f>
        <v/>
      </c>
    </row>
    <row r="40" spans="1:9" x14ac:dyDescent="0.2">
      <c r="A40" t="s">
        <v>1439</v>
      </c>
      <c r="B40" t="str">
        <f>'PVC Conduit y Libre Halógeno'!A41</f>
        <v>Canalización Eléctrica</v>
      </c>
      <c r="C40" t="str">
        <f>'PVC Conduit y Libre Halógeno'!B41</f>
        <v>PVC CONDUIT</v>
      </c>
      <c r="D40">
        <f>'PVC Conduit y Libre Halógeno'!F41</f>
        <v>53507</v>
      </c>
      <c r="E40" t="str">
        <f>'PVC Conduit y Libre Halógeno'!G41</f>
        <v>CAJA CONDUIT TABIQUE C/ORE MET 16-20 NAR</v>
      </c>
      <c r="F40">
        <f>'PVC Conduit y Libre Halógeno'!H41</f>
        <v>10</v>
      </c>
      <c r="G40" t="str">
        <f>'PVC Conduit y Libre Halógeno'!I41</f>
        <v>Unitario</v>
      </c>
      <c r="H40">
        <f>IFERROR(IF('PVC Conduit y Libre Halógeno'!J41="",0,'PVC Conduit y Libre Halógeno'!J41),0)</f>
        <v>0</v>
      </c>
      <c r="I40" s="58" t="str">
        <f>IF(H40&gt;0, MAX(I$1:I39)+1, "")</f>
        <v/>
      </c>
    </row>
    <row r="41" spans="1:9" x14ac:dyDescent="0.2">
      <c r="A41" t="s">
        <v>1439</v>
      </c>
      <c r="B41" t="str">
        <f>'PVC Conduit y Libre Halógeno'!A42</f>
        <v>Canalización Eléctrica</v>
      </c>
      <c r="C41" t="str">
        <f>'PVC Conduit y Libre Halógeno'!B42</f>
        <v>PVC CONDUIT</v>
      </c>
      <c r="D41">
        <f>'PVC Conduit y Libre Halógeno'!F42</f>
        <v>53508</v>
      </c>
      <c r="E41" t="str">
        <f>'PVC Conduit y Libre Halógeno'!G42</f>
        <v>PVC CONDUIT CAJA CORRIENTE 16-20 N NAR</v>
      </c>
      <c r="F41">
        <f>'PVC Conduit y Libre Halógeno'!H42</f>
        <v>10</v>
      </c>
      <c r="G41" t="str">
        <f>'PVC Conduit y Libre Halógeno'!I42</f>
        <v>Unitario</v>
      </c>
      <c r="H41">
        <f>IFERROR(IF('PVC Conduit y Libre Halógeno'!J42="",0,'PVC Conduit y Libre Halógeno'!J42),0)</f>
        <v>0</v>
      </c>
      <c r="I41" s="58" t="str">
        <f>IF(H41&gt;0, MAX(I$1:I40)+1, "")</f>
        <v/>
      </c>
    </row>
    <row r="42" spans="1:9" x14ac:dyDescent="0.2">
      <c r="A42" t="s">
        <v>1439</v>
      </c>
      <c r="B42" t="str">
        <f>'PVC Conduit y Libre Halógeno'!A43</f>
        <v>Canalización Eléctrica</v>
      </c>
      <c r="C42" t="str">
        <f>'PVC Conduit y Libre Halógeno'!B43</f>
        <v>CONDUIT LIBRE HALÓGENO</v>
      </c>
      <c r="D42">
        <f>'PVC Conduit y Libre Halógeno'!F43</f>
        <v>15441</v>
      </c>
      <c r="E42" t="str">
        <f>'PVC Conduit y Libre Halógeno'!G43</f>
        <v>TUBO LIBRE HALOGENO 3M 20 (750N) MEDIO</v>
      </c>
      <c r="F42">
        <f>'PVC Conduit y Libre Halógeno'!H43</f>
        <v>25</v>
      </c>
      <c r="G42" t="str">
        <f>'PVC Conduit y Libre Halógeno'!I43</f>
        <v>Bolsa</v>
      </c>
      <c r="H42">
        <f>IFERROR(IF('PVC Conduit y Libre Halógeno'!J43="",0,'PVC Conduit y Libre Halógeno'!J43),0)</f>
        <v>0</v>
      </c>
      <c r="I42" s="58" t="str">
        <f>IF(H42&gt;0, MAX(I$1:I41)+1, "")</f>
        <v/>
      </c>
    </row>
    <row r="43" spans="1:9" x14ac:dyDescent="0.2">
      <c r="A43" t="s">
        <v>1439</v>
      </c>
      <c r="B43" t="str">
        <f>'PVC Conduit y Libre Halógeno'!A44</f>
        <v>Canalización Eléctrica</v>
      </c>
      <c r="C43" t="str">
        <f>'PVC Conduit y Libre Halógeno'!B44</f>
        <v>CONDUIT LIBRE HALÓGENO</v>
      </c>
      <c r="D43">
        <f>'PVC Conduit y Libre Halógeno'!F44</f>
        <v>15442</v>
      </c>
      <c r="E43" t="str">
        <f>'PVC Conduit y Libre Halógeno'!G44</f>
        <v>TUBO LIBRE HALOGENO 3M 25 (750N) MEDIO</v>
      </c>
      <c r="F43">
        <f>'PVC Conduit y Libre Halógeno'!H44</f>
        <v>20</v>
      </c>
      <c r="G43" t="str">
        <f>'PVC Conduit y Libre Halógeno'!I44</f>
        <v>Bolsa</v>
      </c>
      <c r="H43">
        <f>IFERROR(IF('PVC Conduit y Libre Halógeno'!J44="",0,'PVC Conduit y Libre Halógeno'!J44),0)</f>
        <v>0</v>
      </c>
      <c r="I43" s="58" t="str">
        <f>IF(H43&gt;0, MAX(I$1:I42)+1, "")</f>
        <v/>
      </c>
    </row>
    <row r="44" spans="1:9" x14ac:dyDescent="0.2">
      <c r="A44" t="s">
        <v>1439</v>
      </c>
      <c r="B44" t="str">
        <f>'PVC Conduit y Libre Halógeno'!A45</f>
        <v>Canalización Eléctrica</v>
      </c>
      <c r="C44" t="str">
        <f>'PVC Conduit y Libre Halógeno'!B45</f>
        <v>CONDUIT LIBRE HALÓGENO</v>
      </c>
      <c r="D44">
        <f>'PVC Conduit y Libre Halógeno'!F45</f>
        <v>15443</v>
      </c>
      <c r="E44" t="str">
        <f>'PVC Conduit y Libre Halógeno'!G45</f>
        <v>TUBO LIBRE HALOGENO 3M 32 (750N) MEDIO</v>
      </c>
      <c r="F44">
        <f>'PVC Conduit y Libre Halógeno'!H45</f>
        <v>10</v>
      </c>
      <c r="G44" t="str">
        <f>'PVC Conduit y Libre Halógeno'!I45</f>
        <v>Bolsa</v>
      </c>
      <c r="H44">
        <f>IFERROR(IF('PVC Conduit y Libre Halógeno'!J45="",0,'PVC Conduit y Libre Halógeno'!J45),0)</f>
        <v>0</v>
      </c>
      <c r="I44" s="58" t="str">
        <f>IF(H44&gt;0, MAX(I$1:I43)+1, "")</f>
        <v/>
      </c>
    </row>
    <row r="45" spans="1:9" x14ac:dyDescent="0.2">
      <c r="A45" t="s">
        <v>1439</v>
      </c>
      <c r="B45" t="str">
        <f>'PVC Conduit y Libre Halógeno'!A46</f>
        <v>Canalización Eléctrica</v>
      </c>
      <c r="C45" t="str">
        <f>'PVC Conduit y Libre Halógeno'!B46</f>
        <v>CONDUIT LIBRE HALÓGENO</v>
      </c>
      <c r="D45">
        <f>'PVC Conduit y Libre Halógeno'!F46</f>
        <v>15451</v>
      </c>
      <c r="E45" t="str">
        <f>'PVC Conduit y Libre Halógeno'!G46</f>
        <v>TUBO LIBRE HALOGENO 3M 20 (1250N) FUERTE</v>
      </c>
      <c r="F45">
        <f>'PVC Conduit y Libre Halógeno'!H46</f>
        <v>25</v>
      </c>
      <c r="G45" t="str">
        <f>'PVC Conduit y Libre Halógeno'!I46</f>
        <v>Bolsa</v>
      </c>
      <c r="H45">
        <f>IFERROR(IF('PVC Conduit y Libre Halógeno'!J46="",0,'PVC Conduit y Libre Halógeno'!J46),0)</f>
        <v>0</v>
      </c>
      <c r="I45" s="58" t="str">
        <f>IF(H45&gt;0, MAX(I$1:I44)+1, "")</f>
        <v/>
      </c>
    </row>
    <row r="46" spans="1:9" x14ac:dyDescent="0.2">
      <c r="A46" t="s">
        <v>1439</v>
      </c>
      <c r="B46" t="str">
        <f>'PVC Conduit y Libre Halógeno'!A47</f>
        <v>Canalización Eléctrica</v>
      </c>
      <c r="C46" t="str">
        <f>'PVC Conduit y Libre Halógeno'!B47</f>
        <v>CONDUIT LIBRE HALÓGENO</v>
      </c>
      <c r="D46">
        <f>'PVC Conduit y Libre Halógeno'!F47</f>
        <v>15452</v>
      </c>
      <c r="E46" t="str">
        <f>'PVC Conduit y Libre Halógeno'!G47</f>
        <v>TUBO LIBRE HALOGENO 3M 25 (1250N) FUERTE</v>
      </c>
      <c r="F46">
        <f>'PVC Conduit y Libre Halógeno'!H47</f>
        <v>20</v>
      </c>
      <c r="G46" t="str">
        <f>'PVC Conduit y Libre Halógeno'!I47</f>
        <v>Bolsa</v>
      </c>
      <c r="H46">
        <f>IFERROR(IF('PVC Conduit y Libre Halógeno'!J47="",0,'PVC Conduit y Libre Halógeno'!J47),0)</f>
        <v>0</v>
      </c>
      <c r="I46" s="58" t="str">
        <f>IF(H46&gt;0, MAX(I$1:I45)+1, "")</f>
        <v/>
      </c>
    </row>
    <row r="47" spans="1:9" x14ac:dyDescent="0.2">
      <c r="A47" t="s">
        <v>1439</v>
      </c>
      <c r="B47" t="str">
        <f>'PVC Conduit y Libre Halógeno'!A48</f>
        <v>Canalización Eléctrica</v>
      </c>
      <c r="C47" t="str">
        <f>'PVC Conduit y Libre Halógeno'!B48</f>
        <v>CONDUIT LIBRE HALÓGENO</v>
      </c>
      <c r="D47">
        <f>'PVC Conduit y Libre Halógeno'!F48</f>
        <v>15453</v>
      </c>
      <c r="E47" t="str">
        <f>'PVC Conduit y Libre Halógeno'!G48</f>
        <v>TUBO LIBRE HALOGENO 3M 32 (1250N) FUERTE</v>
      </c>
      <c r="F47">
        <f>'PVC Conduit y Libre Halógeno'!H48</f>
        <v>10</v>
      </c>
      <c r="G47" t="str">
        <f>'PVC Conduit y Libre Halógeno'!I48</f>
        <v>Bolsa</v>
      </c>
      <c r="H47">
        <f>IFERROR(IF('PVC Conduit y Libre Halógeno'!J48="",0,'PVC Conduit y Libre Halógeno'!J48),0)</f>
        <v>0</v>
      </c>
      <c r="I47" s="58" t="str">
        <f>IF(H47&gt;0, MAX(I$1:I46)+1, "")</f>
        <v/>
      </c>
    </row>
    <row r="48" spans="1:9" x14ac:dyDescent="0.2">
      <c r="A48" t="s">
        <v>1439</v>
      </c>
      <c r="B48" t="str">
        <f>'PVC Conduit y Libre Halógeno'!A49</f>
        <v>Canalización Eléctrica</v>
      </c>
      <c r="C48" t="str">
        <f>'PVC Conduit y Libre Halógeno'!B49</f>
        <v>CONDUIT LIBRE HALÓGENO</v>
      </c>
      <c r="D48">
        <f>'PVC Conduit y Libre Halógeno'!F49</f>
        <v>54002</v>
      </c>
      <c r="E48" t="str">
        <f>'PVC Conduit y Libre Halógeno'!G49</f>
        <v>CONDUIT LIBRE HALOGENO FT CODO 90° 20</v>
      </c>
      <c r="F48">
        <f>'PVC Conduit y Libre Halógeno'!H49</f>
        <v>30</v>
      </c>
      <c r="G48" t="str">
        <f>'PVC Conduit y Libre Halógeno'!I49</f>
        <v>Bolsa</v>
      </c>
      <c r="H48">
        <f>IFERROR(IF('PVC Conduit y Libre Halógeno'!J49="",0,'PVC Conduit y Libre Halógeno'!J49),0)</f>
        <v>0</v>
      </c>
      <c r="I48" s="58" t="str">
        <f>IF(H48&gt;0, MAX(I$1:I47)+1, "")</f>
        <v/>
      </c>
    </row>
    <row r="49" spans="1:9" x14ac:dyDescent="0.2">
      <c r="A49" t="s">
        <v>1439</v>
      </c>
      <c r="B49" t="str">
        <f>'PVC Conduit y Libre Halógeno'!A50</f>
        <v>Canalización Eléctrica</v>
      </c>
      <c r="C49" t="str">
        <f>'PVC Conduit y Libre Halógeno'!B50</f>
        <v>CONDUIT LIBRE HALÓGENO</v>
      </c>
      <c r="D49">
        <f>'PVC Conduit y Libre Halógeno'!F50</f>
        <v>54003</v>
      </c>
      <c r="E49" t="str">
        <f>'PVC Conduit y Libre Halógeno'!G50</f>
        <v>CONDUIT LIBRE HALOGENO FT CODO 90° 25</v>
      </c>
      <c r="F49">
        <f>'PVC Conduit y Libre Halógeno'!H50</f>
        <v>15</v>
      </c>
      <c r="G49" t="str">
        <f>'PVC Conduit y Libre Halógeno'!I50</f>
        <v>Bolsa</v>
      </c>
      <c r="H49">
        <f>IFERROR(IF('PVC Conduit y Libre Halógeno'!J50="",0,'PVC Conduit y Libre Halógeno'!J50),0)</f>
        <v>0</v>
      </c>
      <c r="I49" s="58" t="str">
        <f>IF(H49&gt;0, MAX(I$1:I48)+1, "")</f>
        <v/>
      </c>
    </row>
    <row r="50" spans="1:9" x14ac:dyDescent="0.2">
      <c r="A50" t="s">
        <v>1439</v>
      </c>
      <c r="B50" t="str">
        <f>'PVC Conduit y Libre Halógeno'!A51</f>
        <v>Canalización Eléctrica</v>
      </c>
      <c r="C50" t="str">
        <f>'PVC Conduit y Libre Halógeno'!B51</f>
        <v>CONDUIT LIBRE HALÓGENO</v>
      </c>
      <c r="D50">
        <f>'PVC Conduit y Libre Halógeno'!F51</f>
        <v>54004</v>
      </c>
      <c r="E50" t="str">
        <f>'PVC Conduit y Libre Halógeno'!G51</f>
        <v>CONDUIT LIBRE HALOGENO FT CODO 90° 32</v>
      </c>
      <c r="F50">
        <f>'PVC Conduit y Libre Halógeno'!H51</f>
        <v>5</v>
      </c>
      <c r="G50" t="str">
        <f>'PVC Conduit y Libre Halógeno'!I51</f>
        <v>Bolsa</v>
      </c>
      <c r="H50">
        <f>IFERROR(IF('PVC Conduit y Libre Halógeno'!J51="",0,'PVC Conduit y Libre Halógeno'!J51),0)</f>
        <v>0</v>
      </c>
      <c r="I50" s="58" t="str">
        <f>IF(H50&gt;0, MAX(I$1:I49)+1, "")</f>
        <v/>
      </c>
    </row>
    <row r="51" spans="1:9" x14ac:dyDescent="0.2">
      <c r="A51" t="s">
        <v>1439</v>
      </c>
      <c r="B51" t="str">
        <f>'PVC Conduit y Libre Halógeno'!A52</f>
        <v>Canalización Eléctrica</v>
      </c>
      <c r="C51" t="str">
        <f>'PVC Conduit y Libre Halógeno'!B52</f>
        <v>CONDUIT LIBRE HALÓGENO</v>
      </c>
      <c r="D51">
        <f>'PVC Conduit y Libre Halógeno'!F52</f>
        <v>54102</v>
      </c>
      <c r="E51" t="str">
        <f>'PVC Conduit y Libre Halógeno'!G52</f>
        <v>CONDUIT LIBRE HALOGENO FT COPLA 20</v>
      </c>
      <c r="F51">
        <f>'PVC Conduit y Libre Halógeno'!H52</f>
        <v>20</v>
      </c>
      <c r="G51" t="str">
        <f>'PVC Conduit y Libre Halógeno'!I52</f>
        <v>Bolsa</v>
      </c>
      <c r="H51">
        <f>IFERROR(IF('PVC Conduit y Libre Halógeno'!J52="",0,'PVC Conduit y Libre Halógeno'!J52),0)</f>
        <v>0</v>
      </c>
      <c r="I51" s="58" t="str">
        <f>IF(H51&gt;0, MAX(I$1:I50)+1, "")</f>
        <v/>
      </c>
    </row>
    <row r="52" spans="1:9" x14ac:dyDescent="0.2">
      <c r="A52" t="s">
        <v>1439</v>
      </c>
      <c r="B52" t="str">
        <f>'PVC Conduit y Libre Halógeno'!A53</f>
        <v>Canalización Eléctrica</v>
      </c>
      <c r="C52" t="str">
        <f>'PVC Conduit y Libre Halógeno'!B53</f>
        <v>CONDUIT LIBRE HALÓGENO</v>
      </c>
      <c r="D52">
        <f>'PVC Conduit y Libre Halógeno'!F53</f>
        <v>54103</v>
      </c>
      <c r="E52" t="str">
        <f>'PVC Conduit y Libre Halógeno'!G53</f>
        <v>CONDUIT LIBRE HALOGENO FT COPLA 25</v>
      </c>
      <c r="F52">
        <f>'PVC Conduit y Libre Halógeno'!H53</f>
        <v>20</v>
      </c>
      <c r="G52" t="str">
        <f>'PVC Conduit y Libre Halógeno'!I53</f>
        <v>Bolsa</v>
      </c>
      <c r="H52">
        <f>IFERROR(IF('PVC Conduit y Libre Halógeno'!J53="",0,'PVC Conduit y Libre Halógeno'!J53),0)</f>
        <v>0</v>
      </c>
      <c r="I52" s="58" t="str">
        <f>IF(H52&gt;0, MAX(I$1:I51)+1, "")</f>
        <v/>
      </c>
    </row>
    <row r="53" spans="1:9" x14ac:dyDescent="0.2">
      <c r="A53" t="s">
        <v>1439</v>
      </c>
      <c r="B53" t="str">
        <f>'PVC Conduit y Libre Halógeno'!A54</f>
        <v>Canalización Eléctrica</v>
      </c>
      <c r="C53" t="str">
        <f>'PVC Conduit y Libre Halógeno'!B54</f>
        <v>CONDUIT LIBRE HALÓGENO</v>
      </c>
      <c r="D53">
        <f>'PVC Conduit y Libre Halógeno'!F54</f>
        <v>54104</v>
      </c>
      <c r="E53" t="str">
        <f>'PVC Conduit y Libre Halógeno'!G54</f>
        <v>CONDUIT LIBRE HALOGENO FT COPLA 32</v>
      </c>
      <c r="F53">
        <f>'PVC Conduit y Libre Halógeno'!H54</f>
        <v>20</v>
      </c>
      <c r="G53" t="str">
        <f>'PVC Conduit y Libre Halógeno'!I54</f>
        <v>Bolsa</v>
      </c>
      <c r="H53">
        <f>IFERROR(IF('PVC Conduit y Libre Halógeno'!J54="",0,'PVC Conduit y Libre Halógeno'!J54),0)</f>
        <v>0</v>
      </c>
      <c r="I53" s="58" t="str">
        <f>IF(H53&gt;0, MAX(I$1:I52)+1, "")</f>
        <v/>
      </c>
    </row>
    <row r="54" spans="1:9" x14ac:dyDescent="0.2">
      <c r="A54" t="s">
        <v>1439</v>
      </c>
      <c r="B54" t="str">
        <f>'PVC Conduit y Libre Halógeno'!A55</f>
        <v>Canalización Eléctrica</v>
      </c>
      <c r="C54" t="str">
        <f>'PVC Conduit y Libre Halógeno'!B55</f>
        <v>CONDUIT LIBRE HALÓGENO</v>
      </c>
      <c r="D54">
        <f>'PVC Conduit y Libre Halógeno'!F55</f>
        <v>54202</v>
      </c>
      <c r="E54" t="str">
        <f>'PVC Conduit y Libre Halógeno'!G55</f>
        <v>CONDUIT LIBRE HALOGENO FT TERMINAL 20</v>
      </c>
      <c r="F54">
        <f>'PVC Conduit y Libre Halógeno'!H55</f>
        <v>20</v>
      </c>
      <c r="G54" t="str">
        <f>'PVC Conduit y Libre Halógeno'!I55</f>
        <v>Bolsa</v>
      </c>
      <c r="H54">
        <f>IFERROR(IF('PVC Conduit y Libre Halógeno'!J55="",0,'PVC Conduit y Libre Halógeno'!J55),0)</f>
        <v>0</v>
      </c>
      <c r="I54" s="58" t="str">
        <f>IF(H54&gt;0, MAX(I$1:I53)+1, "")</f>
        <v/>
      </c>
    </row>
    <row r="55" spans="1:9" x14ac:dyDescent="0.2">
      <c r="A55" t="s">
        <v>1439</v>
      </c>
      <c r="B55" t="str">
        <f>'PVC Conduit y Libre Halógeno'!A56</f>
        <v>Canalización Eléctrica</v>
      </c>
      <c r="C55" t="str">
        <f>'PVC Conduit y Libre Halógeno'!B56</f>
        <v>CONDUIT LIBRE HALÓGENO</v>
      </c>
      <c r="D55">
        <f>'PVC Conduit y Libre Halógeno'!F56</f>
        <v>54203</v>
      </c>
      <c r="E55" t="str">
        <f>'PVC Conduit y Libre Halógeno'!G56</f>
        <v>CONDUIT LIBRE HALOGENO FT TERMINAL 25</v>
      </c>
      <c r="F55">
        <f>'PVC Conduit y Libre Halógeno'!H56</f>
        <v>20</v>
      </c>
      <c r="G55" t="str">
        <f>'PVC Conduit y Libre Halógeno'!I56</f>
        <v>Bolsa</v>
      </c>
      <c r="H55">
        <f>IFERROR(IF('PVC Conduit y Libre Halógeno'!J56="",0,'PVC Conduit y Libre Halógeno'!J56),0)</f>
        <v>0</v>
      </c>
      <c r="I55" s="58" t="str">
        <f>IF(H55&gt;0, MAX(I$1:I54)+1, "")</f>
        <v/>
      </c>
    </row>
    <row r="56" spans="1:9" x14ac:dyDescent="0.2">
      <c r="A56" t="s">
        <v>1439</v>
      </c>
      <c r="B56" t="str">
        <f>'PVC Conduit y Libre Halógeno'!A57</f>
        <v>Canalización Eléctrica</v>
      </c>
      <c r="C56" t="str">
        <f>'PVC Conduit y Libre Halógeno'!B57</f>
        <v>CONDUIT LIBRE HALÓGENO</v>
      </c>
      <c r="D56">
        <f>'PVC Conduit y Libre Halógeno'!F57</f>
        <v>54204</v>
      </c>
      <c r="E56" t="str">
        <f>'PVC Conduit y Libre Halógeno'!G57</f>
        <v>CONDUIT LIBRE HALOGENO FT TERMINAL 32</v>
      </c>
      <c r="F56">
        <f>'PVC Conduit y Libre Halógeno'!H57</f>
        <v>20</v>
      </c>
      <c r="G56" t="str">
        <f>'PVC Conduit y Libre Halógeno'!I57</f>
        <v>Bolsa</v>
      </c>
      <c r="H56">
        <f>IFERROR(IF('PVC Conduit y Libre Halógeno'!J57="",0,'PVC Conduit y Libre Halógeno'!J57),0)</f>
        <v>0</v>
      </c>
      <c r="I56" s="58" t="str">
        <f>IF(H56&gt;0, MAX(I$1:I55)+1, "")</f>
        <v/>
      </c>
    </row>
    <row r="57" spans="1:9" x14ac:dyDescent="0.2">
      <c r="A57" t="s">
        <v>1439</v>
      </c>
      <c r="B57" t="str">
        <f>'PVC Conduit y Libre Halógeno'!A58</f>
        <v>Canalización Eléctrica</v>
      </c>
      <c r="C57" t="str">
        <f>'PVC Conduit y Libre Halógeno'!B58</f>
        <v>CONDUIT LIBRE HALÓGENO</v>
      </c>
      <c r="D57">
        <f>'PVC Conduit y Libre Halógeno'!F58</f>
        <v>54302</v>
      </c>
      <c r="E57" t="str">
        <f>'PVC Conduit y Libre Halógeno'!G58</f>
        <v>CONDUIT LIBRE HALOGENO ACC ABRAZADERA 20</v>
      </c>
      <c r="F57">
        <f>'PVC Conduit y Libre Halógeno'!H58</f>
        <v>50</v>
      </c>
      <c r="G57" t="str">
        <f>'PVC Conduit y Libre Halógeno'!I58</f>
        <v>Bolsa</v>
      </c>
      <c r="H57">
        <f>IFERROR(IF('PVC Conduit y Libre Halógeno'!J58="",0,'PVC Conduit y Libre Halógeno'!J58),0)</f>
        <v>0</v>
      </c>
      <c r="I57" s="58" t="str">
        <f>IF(H57&gt;0, MAX(I$1:I56)+1, "")</f>
        <v/>
      </c>
    </row>
    <row r="58" spans="1:9" x14ac:dyDescent="0.2">
      <c r="A58" t="s">
        <v>1439</v>
      </c>
      <c r="B58" t="str">
        <f>'PVC Conduit y Libre Halógeno'!A59</f>
        <v>Canalización Eléctrica</v>
      </c>
      <c r="C58" t="str">
        <f>'PVC Conduit y Libre Halógeno'!B59</f>
        <v>CONDUIT LIBRE HALÓGENO</v>
      </c>
      <c r="D58">
        <f>'PVC Conduit y Libre Halógeno'!F59</f>
        <v>54303</v>
      </c>
      <c r="E58" t="str">
        <f>'PVC Conduit y Libre Halógeno'!G59</f>
        <v>CONDUIT LIBRE HALOGENO ACC ABRAZADERA 25</v>
      </c>
      <c r="F58">
        <f>'PVC Conduit y Libre Halógeno'!H59</f>
        <v>50</v>
      </c>
      <c r="G58" t="str">
        <f>'PVC Conduit y Libre Halógeno'!I59</f>
        <v>Bolsa</v>
      </c>
      <c r="H58">
        <f>IFERROR(IF('PVC Conduit y Libre Halógeno'!J59="",0,'PVC Conduit y Libre Halógeno'!J59),0)</f>
        <v>0</v>
      </c>
      <c r="I58" s="58" t="str">
        <f>IF(H58&gt;0, MAX(I$1:I57)+1, "")</f>
        <v/>
      </c>
    </row>
    <row r="59" spans="1:9" x14ac:dyDescent="0.2">
      <c r="A59" t="s">
        <v>1439</v>
      </c>
      <c r="B59" t="str">
        <f>'PVC Conduit y Libre Halógeno'!A60</f>
        <v>Canalización Eléctrica</v>
      </c>
      <c r="C59" t="str">
        <f>'PVC Conduit y Libre Halógeno'!B60</f>
        <v>CONDUIT LIBRE HALÓGENO</v>
      </c>
      <c r="D59">
        <f>'PVC Conduit y Libre Halógeno'!F60</f>
        <v>54304</v>
      </c>
      <c r="E59" t="str">
        <f>'PVC Conduit y Libre Halógeno'!G60</f>
        <v>CONDUIT LIBRE HALOGENO ACC ABRAZADERA 32</v>
      </c>
      <c r="F59">
        <f>'PVC Conduit y Libre Halógeno'!H60</f>
        <v>50</v>
      </c>
      <c r="G59" t="str">
        <f>'PVC Conduit y Libre Halógeno'!I60</f>
        <v>Bolsa</v>
      </c>
      <c r="H59">
        <f>IFERROR(IF('PVC Conduit y Libre Halógeno'!J60="",0,'PVC Conduit y Libre Halógeno'!J60),0)</f>
        <v>0</v>
      </c>
      <c r="I59" s="58" t="str">
        <f>IF(H59&gt;0, MAX(I$1:I58)+1, "")</f>
        <v/>
      </c>
    </row>
    <row r="60" spans="1:9" x14ac:dyDescent="0.2">
      <c r="A60" t="s">
        <v>1440</v>
      </c>
      <c r="B60" t="str">
        <f>PPRCT!A3</f>
        <v>Conducción Fluidos</v>
      </c>
      <c r="C60" t="str">
        <f>PPRCT!B3</f>
        <v>PP-RCT</v>
      </c>
      <c r="D60">
        <f>PPRCT!F3</f>
        <v>11402</v>
      </c>
      <c r="E60" t="str">
        <f>PPRCT!G3</f>
        <v>PP-RCT TUBO 6M 20 PN16 N</v>
      </c>
      <c r="F60">
        <f>PPRCT!H3</f>
        <v>25</v>
      </c>
      <c r="G60" t="str">
        <f>PPRCT!I3</f>
        <v>Bolsa</v>
      </c>
      <c r="H60">
        <f>IFERROR(IF(PPRCT!J3="",0,PPRCT!J3),0)</f>
        <v>0</v>
      </c>
      <c r="I60" s="58" t="str">
        <f>IF(H60&gt;0, MAX(I$1:I59)+1, "")</f>
        <v/>
      </c>
    </row>
    <row r="61" spans="1:9" x14ac:dyDescent="0.2">
      <c r="A61" t="s">
        <v>1440</v>
      </c>
      <c r="B61" t="str">
        <f>PPRCT!A4</f>
        <v>Conducción Fluidos</v>
      </c>
      <c r="C61" t="str">
        <f>PPRCT!B4</f>
        <v>PP-RCT</v>
      </c>
      <c r="D61">
        <f>PPRCT!F4</f>
        <v>11403</v>
      </c>
      <c r="E61" t="str">
        <f>PPRCT!G4</f>
        <v>PP-RCT TUBO 6M 25 PN16 N</v>
      </c>
      <c r="F61">
        <f>PPRCT!H4</f>
        <v>20</v>
      </c>
      <c r="G61" t="str">
        <f>PPRCT!I4</f>
        <v>Bolsa</v>
      </c>
      <c r="H61">
        <f>IFERROR(IF(PPRCT!J4="",0,PPRCT!J4),0)</f>
        <v>0</v>
      </c>
      <c r="I61" s="58" t="str">
        <f>IF(H61&gt;0, MAX(I$1:I60)+1, "")</f>
        <v/>
      </c>
    </row>
    <row r="62" spans="1:9" x14ac:dyDescent="0.2">
      <c r="A62" t="s">
        <v>1440</v>
      </c>
      <c r="B62" t="str">
        <f>PPRCT!A5</f>
        <v>Conducción Fluidos</v>
      </c>
      <c r="C62" t="str">
        <f>PPRCT!B5</f>
        <v>PP-RCT</v>
      </c>
      <c r="D62">
        <f>PPRCT!F5</f>
        <v>11404</v>
      </c>
      <c r="E62" t="str">
        <f>PPRCT!G5</f>
        <v>PP-RCT TUBO 6M 32 PN16 N</v>
      </c>
      <c r="F62">
        <f>PPRCT!H5</f>
        <v>10</v>
      </c>
      <c r="G62" t="str">
        <f>PPRCT!I5</f>
        <v>Bolsa</v>
      </c>
      <c r="H62">
        <f>IFERROR(IF(PPRCT!J5="",0,PPRCT!J5),0)</f>
        <v>0</v>
      </c>
      <c r="I62" s="58" t="str">
        <f>IF(H62&gt;0, MAX(I$1:I61)+1, "")</f>
        <v/>
      </c>
    </row>
    <row r="63" spans="1:9" x14ac:dyDescent="0.2">
      <c r="A63" t="s">
        <v>1440</v>
      </c>
      <c r="B63" t="str">
        <f>PPRCT!A6</f>
        <v>Conducción Fluidos</v>
      </c>
      <c r="C63" t="str">
        <f>PPRCT!B6</f>
        <v>PP-RCT</v>
      </c>
      <c r="D63">
        <f>PPRCT!F6</f>
        <v>11405</v>
      </c>
      <c r="E63" t="str">
        <f>PPRCT!G6</f>
        <v>PP-RCT TUBO 6M 40 PN16 N</v>
      </c>
      <c r="F63">
        <f>PPRCT!H6</f>
        <v>1</v>
      </c>
      <c r="G63" t="str">
        <f>PPRCT!I6</f>
        <v>Bolsa</v>
      </c>
      <c r="H63">
        <f>IFERROR(IF(PPRCT!J6="",0,PPRCT!J6),0)</f>
        <v>0</v>
      </c>
      <c r="I63" s="58" t="str">
        <f>IF(H63&gt;0, MAX(I$1:I62)+1, "")</f>
        <v/>
      </c>
    </row>
    <row r="64" spans="1:9" x14ac:dyDescent="0.2">
      <c r="A64" t="s">
        <v>1440</v>
      </c>
      <c r="B64" t="str">
        <f>PPRCT!A7</f>
        <v>Conducción Fluidos</v>
      </c>
      <c r="C64" t="str">
        <f>PPRCT!B7</f>
        <v>PP-RCT</v>
      </c>
      <c r="D64">
        <f>PPRCT!F7</f>
        <v>11406</v>
      </c>
      <c r="E64" t="str">
        <f>PPRCT!G7</f>
        <v>PP-RCT TUBO 6M 50 PN16 N</v>
      </c>
      <c r="F64">
        <f>PPRCT!H7</f>
        <v>1</v>
      </c>
      <c r="G64" t="str">
        <f>PPRCT!I7</f>
        <v>Bolsa</v>
      </c>
      <c r="H64">
        <f>IFERROR(IF(PPRCT!J7="",0,PPRCT!J7),0)</f>
        <v>0</v>
      </c>
      <c r="I64" s="58" t="str">
        <f>IF(H64&gt;0, MAX(I$1:I63)+1, "")</f>
        <v/>
      </c>
    </row>
    <row r="65" spans="1:9" x14ac:dyDescent="0.2">
      <c r="A65" t="s">
        <v>1440</v>
      </c>
      <c r="B65" t="str">
        <f>PPRCT!A8</f>
        <v>Conducción Fluidos</v>
      </c>
      <c r="C65" t="str">
        <f>PPRCT!B8</f>
        <v>PP-RCT</v>
      </c>
      <c r="D65">
        <f>PPRCT!F8</f>
        <v>11407</v>
      </c>
      <c r="E65" t="str">
        <f>PPRCT!G8</f>
        <v>PP-RCT TUBO 6M 63 PN16 N</v>
      </c>
      <c r="F65">
        <f>PPRCT!H8</f>
        <v>1</v>
      </c>
      <c r="G65" t="str">
        <f>PPRCT!I8</f>
        <v>Bolsa</v>
      </c>
      <c r="H65">
        <f>IFERROR(IF(PPRCT!J8="",0,PPRCT!J8),0)</f>
        <v>0</v>
      </c>
      <c r="I65" s="58" t="str">
        <f>IF(H65&gt;0, MAX(I$1:I64)+1, "")</f>
        <v/>
      </c>
    </row>
    <row r="66" spans="1:9" x14ac:dyDescent="0.2">
      <c r="A66" t="s">
        <v>1440</v>
      </c>
      <c r="B66" t="str">
        <f>PPRCT!A9</f>
        <v>Conducción Fluidos</v>
      </c>
      <c r="C66" t="str">
        <f>PPRCT!B9</f>
        <v>PP-RCT</v>
      </c>
      <c r="D66">
        <f>PPRCT!F9</f>
        <v>11408</v>
      </c>
      <c r="E66" t="str">
        <f>PPRCT!G9</f>
        <v>PP-RCT TUBO 6M 75 PN16 N</v>
      </c>
      <c r="F66">
        <f>PPRCT!H9</f>
        <v>1</v>
      </c>
      <c r="G66" t="str">
        <f>PPRCT!I9</f>
        <v>Bolsa</v>
      </c>
      <c r="H66">
        <f>IFERROR(IF(PPRCT!J9="",0,PPRCT!J9),0)</f>
        <v>0</v>
      </c>
      <c r="I66" s="58" t="str">
        <f>IF(H66&gt;0, MAX(I$1:I65)+1, "")</f>
        <v/>
      </c>
    </row>
    <row r="67" spans="1:9" x14ac:dyDescent="0.2">
      <c r="A67" t="s">
        <v>1440</v>
      </c>
      <c r="B67" t="str">
        <f>PPRCT!A10</f>
        <v>Conducción Fluidos</v>
      </c>
      <c r="C67" t="str">
        <f>PPRCT!B10</f>
        <v>PP-RCT</v>
      </c>
      <c r="D67">
        <f>PPRCT!F10</f>
        <v>11409</v>
      </c>
      <c r="E67" t="str">
        <f>PPRCT!G10</f>
        <v>PP-RCT TUBO 6M 90 PN16 N</v>
      </c>
      <c r="F67">
        <f>PPRCT!H10</f>
        <v>1</v>
      </c>
      <c r="G67" t="str">
        <f>PPRCT!I10</f>
        <v>Bolsa</v>
      </c>
      <c r="H67">
        <f>IFERROR(IF(PPRCT!J10="",0,PPRCT!J10),0)</f>
        <v>0</v>
      </c>
      <c r="I67" s="58" t="str">
        <f>IF(H67&gt;0, MAX(I$1:I66)+1, "")</f>
        <v/>
      </c>
    </row>
    <row r="68" spans="1:9" x14ac:dyDescent="0.2">
      <c r="A68" t="s">
        <v>1440</v>
      </c>
      <c r="B68" t="str">
        <f>PPRCT!A11</f>
        <v>Conducción Fluidos</v>
      </c>
      <c r="C68" t="str">
        <f>PPRCT!B11</f>
        <v>PP-RCT</v>
      </c>
      <c r="D68">
        <f>PPRCT!F11</f>
        <v>11410</v>
      </c>
      <c r="E68" t="str">
        <f>PPRCT!G11</f>
        <v>PP-RCT TUBO 6M 110 PN16 N</v>
      </c>
      <c r="F68">
        <f>PPRCT!H11</f>
        <v>1</v>
      </c>
      <c r="G68" t="str">
        <f>PPRCT!I11</f>
        <v>Bolsa</v>
      </c>
      <c r="H68">
        <f>IFERROR(IF(PPRCT!J11="",0,PPRCT!J11),0)</f>
        <v>0</v>
      </c>
      <c r="I68" s="58" t="str">
        <f>IF(H68&gt;0, MAX(I$1:I67)+1, "")</f>
        <v/>
      </c>
    </row>
    <row r="69" spans="1:9" x14ac:dyDescent="0.2">
      <c r="A69" t="s">
        <v>1441</v>
      </c>
      <c r="B69" t="str">
        <f>PPR!A3</f>
        <v>Conducción Fluidos</v>
      </c>
      <c r="C69" t="str">
        <f>PPR!B3</f>
        <v>PP-R</v>
      </c>
      <c r="D69">
        <f>PPR!F3</f>
        <v>12002</v>
      </c>
      <c r="E69" t="str">
        <f>PPR!G3</f>
        <v>PPR TUBO 6M 20 PN16 N</v>
      </c>
      <c r="F69">
        <f>PPR!H3</f>
        <v>25</v>
      </c>
      <c r="G69" t="str">
        <f>PPR!I3</f>
        <v>Bolsa</v>
      </c>
      <c r="H69">
        <f>IFERROR(IF(PPR!J3="",0,PPR!J3),0)</f>
        <v>0</v>
      </c>
      <c r="I69" s="58" t="str">
        <f>IF(H69&gt;0, MAX(I$1:I68)+1, "")</f>
        <v/>
      </c>
    </row>
    <row r="70" spans="1:9" x14ac:dyDescent="0.2">
      <c r="A70" t="s">
        <v>1441</v>
      </c>
      <c r="B70" t="str">
        <f>PPR!A4</f>
        <v>Conducción Fluidos</v>
      </c>
      <c r="C70" t="str">
        <f>PPR!B4</f>
        <v>PP-R</v>
      </c>
      <c r="D70">
        <f>PPR!F4</f>
        <v>12003</v>
      </c>
      <c r="E70" t="str">
        <f>PPR!G4</f>
        <v>PPR TUBO 6M 25 PN16 N</v>
      </c>
      <c r="F70">
        <f>PPR!H4</f>
        <v>20</v>
      </c>
      <c r="G70" t="str">
        <f>PPR!I4</f>
        <v>Bolsa</v>
      </c>
      <c r="H70">
        <f>IFERROR(IF(PPR!J4="",0,PPR!J4),0)</f>
        <v>0</v>
      </c>
      <c r="I70" s="58" t="str">
        <f>IF(H70&gt;0, MAX(I$1:I69)+1, "")</f>
        <v/>
      </c>
    </row>
    <row r="71" spans="1:9" x14ac:dyDescent="0.2">
      <c r="A71" t="s">
        <v>1441</v>
      </c>
      <c r="B71" t="str">
        <f>PPR!A5</f>
        <v>Conducción Fluidos</v>
      </c>
      <c r="C71" t="str">
        <f>PPR!B5</f>
        <v>PP-R</v>
      </c>
      <c r="D71">
        <f>PPR!F5</f>
        <v>12004</v>
      </c>
      <c r="E71" t="str">
        <f>PPR!G5</f>
        <v>PPR TUBO 6M 32 PN16 N</v>
      </c>
      <c r="F71">
        <f>PPR!H5</f>
        <v>10</v>
      </c>
      <c r="G71" t="str">
        <f>PPR!I5</f>
        <v>Bolsa</v>
      </c>
      <c r="H71">
        <f>IFERROR(IF(PPR!J5="",0,PPR!J5),0)</f>
        <v>0</v>
      </c>
      <c r="I71" s="58" t="str">
        <f>IF(H71&gt;0, MAX(I$1:I70)+1, "")</f>
        <v/>
      </c>
    </row>
    <row r="72" spans="1:9" x14ac:dyDescent="0.2">
      <c r="A72" t="s">
        <v>1441</v>
      </c>
      <c r="B72" t="str">
        <f>PPR!A6</f>
        <v>Conducción Fluidos</v>
      </c>
      <c r="C72" t="str">
        <f>PPR!B6</f>
        <v>PP-R</v>
      </c>
      <c r="D72">
        <f>PPR!F6</f>
        <v>12005</v>
      </c>
      <c r="E72" t="str">
        <f>PPR!G6</f>
        <v>PPR TUBO 6M 40 PN16 N</v>
      </c>
      <c r="F72">
        <f>PPR!H6</f>
        <v>1</v>
      </c>
      <c r="G72" t="str">
        <f>PPR!I6</f>
        <v>Bolsa</v>
      </c>
      <c r="H72">
        <f>IFERROR(IF(PPR!J6="",0,PPR!J6),0)</f>
        <v>0</v>
      </c>
      <c r="I72" s="58" t="str">
        <f>IF(H72&gt;0, MAX(I$1:I71)+1, "")</f>
        <v/>
      </c>
    </row>
    <row r="73" spans="1:9" x14ac:dyDescent="0.2">
      <c r="A73" t="s">
        <v>1441</v>
      </c>
      <c r="B73" t="str">
        <f>PPR!A7</f>
        <v>Conducción Fluidos</v>
      </c>
      <c r="C73" t="str">
        <f>PPR!B7</f>
        <v>PP-R</v>
      </c>
      <c r="D73">
        <f>PPR!F7</f>
        <v>12006</v>
      </c>
      <c r="E73" t="str">
        <f>PPR!G7</f>
        <v>PPR TUBO 6M 50 PN16 N</v>
      </c>
      <c r="F73">
        <f>PPR!H7</f>
        <v>1</v>
      </c>
      <c r="G73" t="str">
        <f>PPR!I7</f>
        <v>Bolsa</v>
      </c>
      <c r="H73">
        <f>IFERROR(IF(PPR!J7="",0,PPR!J7),0)</f>
        <v>0</v>
      </c>
      <c r="I73" s="58" t="str">
        <f>IF(H73&gt;0, MAX(I$1:I72)+1, "")</f>
        <v/>
      </c>
    </row>
    <row r="74" spans="1:9" x14ac:dyDescent="0.2">
      <c r="A74" t="s">
        <v>1441</v>
      </c>
      <c r="B74" t="str">
        <f>PPR!A8</f>
        <v>Conducción Fluidos</v>
      </c>
      <c r="C74" t="str">
        <f>PPR!B8</f>
        <v>PP-R</v>
      </c>
      <c r="D74">
        <f>PPR!F8</f>
        <v>12007</v>
      </c>
      <c r="E74" t="str">
        <f>PPR!G8</f>
        <v>PPR TUBO 6M 63 PN16 N</v>
      </c>
      <c r="F74">
        <f>PPR!H8</f>
        <v>1</v>
      </c>
      <c r="G74" t="str">
        <f>PPR!I8</f>
        <v>Bolsa</v>
      </c>
      <c r="H74">
        <f>IFERROR(IF(PPR!J8="",0,PPR!J8),0)</f>
        <v>0</v>
      </c>
      <c r="I74" s="58" t="str">
        <f>IF(H74&gt;0, MAX(I$1:I73)+1, "")</f>
        <v/>
      </c>
    </row>
    <row r="75" spans="1:9" x14ac:dyDescent="0.2">
      <c r="A75" t="s">
        <v>1441</v>
      </c>
      <c r="B75" t="str">
        <f>PPR!A9</f>
        <v>Conducción Fluidos</v>
      </c>
      <c r="C75" t="str">
        <f>PPR!B9</f>
        <v>PP-R</v>
      </c>
      <c r="D75">
        <f>PPR!F9</f>
        <v>12008</v>
      </c>
      <c r="E75" t="str">
        <f>PPR!G9</f>
        <v>PPR TUBO 6M 75 PN16 N</v>
      </c>
      <c r="F75">
        <f>PPR!H9</f>
        <v>1</v>
      </c>
      <c r="G75" t="str">
        <f>PPR!I9</f>
        <v>Bolsa</v>
      </c>
      <c r="H75">
        <f>IFERROR(IF(PPR!J9="",0,PPR!J9),0)</f>
        <v>0</v>
      </c>
      <c r="I75" s="58" t="str">
        <f>IF(H75&gt;0, MAX(I$1:I74)+1, "")</f>
        <v/>
      </c>
    </row>
    <row r="76" spans="1:9" x14ac:dyDescent="0.2">
      <c r="A76" t="s">
        <v>1441</v>
      </c>
      <c r="B76" t="str">
        <f>PPR!A10</f>
        <v>Conducción Fluidos</v>
      </c>
      <c r="C76" t="str">
        <f>PPR!B10</f>
        <v>PP-R</v>
      </c>
      <c r="D76">
        <f>PPR!F10</f>
        <v>12009</v>
      </c>
      <c r="E76" t="str">
        <f>PPR!G10</f>
        <v>PPR TUBO 6M 90 PN16 N</v>
      </c>
      <c r="F76">
        <f>PPR!H10</f>
        <v>1</v>
      </c>
      <c r="G76" t="str">
        <f>PPR!I10</f>
        <v>Bolsa</v>
      </c>
      <c r="H76">
        <f>IFERROR(IF(PPR!J10="",0,PPR!J10),0)</f>
        <v>0</v>
      </c>
      <c r="I76" s="58" t="str">
        <f>IF(H76&gt;0, MAX(I$1:I75)+1, "")</f>
        <v/>
      </c>
    </row>
    <row r="77" spans="1:9" x14ac:dyDescent="0.2">
      <c r="A77" t="s">
        <v>1441</v>
      </c>
      <c r="B77" t="str">
        <f>PPR!A11</f>
        <v>Conducción Fluidos</v>
      </c>
      <c r="C77" t="str">
        <f>PPR!B11</f>
        <v>PP-R</v>
      </c>
      <c r="D77">
        <f>PPR!F11</f>
        <v>12010</v>
      </c>
      <c r="E77" t="str">
        <f>PPR!G11</f>
        <v>PPR TUBO 6M 110 PN16 N</v>
      </c>
      <c r="F77">
        <f>PPR!H11</f>
        <v>1</v>
      </c>
      <c r="G77" t="str">
        <f>PPR!I11</f>
        <v>Bolsa</v>
      </c>
      <c r="H77">
        <f>IFERROR(IF(PPR!J11="",0,PPR!J11),0)</f>
        <v>0</v>
      </c>
      <c r="I77" s="58" t="str">
        <f>IF(H77&gt;0, MAX(I$1:I76)+1, "")</f>
        <v/>
      </c>
    </row>
    <row r="78" spans="1:9" x14ac:dyDescent="0.2">
      <c r="A78" t="s">
        <v>1441</v>
      </c>
      <c r="B78" t="str">
        <f>PPR!A12</f>
        <v>Conducción Fluidos</v>
      </c>
      <c r="C78" t="str">
        <f>PPR!B12</f>
        <v>PP-R</v>
      </c>
      <c r="D78">
        <f>PPR!F12</f>
        <v>12102</v>
      </c>
      <c r="E78" t="str">
        <f>PPR!G12</f>
        <v>PPR TUBO 6M 20 PN20 N</v>
      </c>
      <c r="F78">
        <f>PPR!H12</f>
        <v>25</v>
      </c>
      <c r="G78" t="str">
        <f>PPR!I12</f>
        <v>Bolsa</v>
      </c>
      <c r="H78">
        <f>IFERROR(IF(PPR!J12="",0,PPR!J12),0)</f>
        <v>0</v>
      </c>
      <c r="I78" s="58" t="str">
        <f>IF(H78&gt;0, MAX(I$1:I77)+1, "")</f>
        <v/>
      </c>
    </row>
    <row r="79" spans="1:9" x14ac:dyDescent="0.2">
      <c r="A79" t="s">
        <v>1441</v>
      </c>
      <c r="B79" t="str">
        <f>PPR!A13</f>
        <v>Conducción Fluidos</v>
      </c>
      <c r="C79" t="str">
        <f>PPR!B13</f>
        <v>PP-R</v>
      </c>
      <c r="D79">
        <f>PPR!F13</f>
        <v>12103</v>
      </c>
      <c r="E79" t="str">
        <f>PPR!G13</f>
        <v>PPR TUBO 6M 25 PN20 N</v>
      </c>
      <c r="F79">
        <f>PPR!H13</f>
        <v>20</v>
      </c>
      <c r="G79" t="str">
        <f>PPR!I13</f>
        <v>Bolsa</v>
      </c>
      <c r="H79">
        <f>IFERROR(IF(PPR!J13="",0,PPR!J13),0)</f>
        <v>0</v>
      </c>
      <c r="I79" s="58" t="str">
        <f>IF(H79&gt;0, MAX(I$1:I78)+1, "")</f>
        <v/>
      </c>
    </row>
    <row r="80" spans="1:9" x14ac:dyDescent="0.2">
      <c r="A80" t="s">
        <v>1441</v>
      </c>
      <c r="B80" t="str">
        <f>PPR!A14</f>
        <v>Conducción Fluidos</v>
      </c>
      <c r="C80" t="str">
        <f>PPR!B14</f>
        <v>PP-R</v>
      </c>
      <c r="D80">
        <f>PPR!F14</f>
        <v>12104</v>
      </c>
      <c r="E80" t="str">
        <f>PPR!G14</f>
        <v>PPR TUBO 6M 32 PN20 N</v>
      </c>
      <c r="F80">
        <f>PPR!H14</f>
        <v>10</v>
      </c>
      <c r="G80" t="str">
        <f>PPR!I14</f>
        <v>Bolsa</v>
      </c>
      <c r="H80">
        <f>IFERROR(IF(PPR!J14="",0,PPR!J14),0)</f>
        <v>0</v>
      </c>
      <c r="I80" s="58" t="str">
        <f>IF(H80&gt;0, MAX(I$1:I79)+1, "")</f>
        <v/>
      </c>
    </row>
    <row r="81" spans="1:9" x14ac:dyDescent="0.2">
      <c r="A81" t="s">
        <v>1441</v>
      </c>
      <c r="B81" t="str">
        <f>PPR!A15</f>
        <v>Conducción Fluidos</v>
      </c>
      <c r="C81" t="str">
        <f>PPR!B15</f>
        <v>PP-R</v>
      </c>
      <c r="D81">
        <f>PPR!F15</f>
        <v>12105</v>
      </c>
      <c r="E81" t="str">
        <f>PPR!G15</f>
        <v>PPR TUBO 6M 40 PN20 N</v>
      </c>
      <c r="F81">
        <f>PPR!H15</f>
        <v>1</v>
      </c>
      <c r="G81" t="str">
        <f>PPR!I15</f>
        <v>Bolsa</v>
      </c>
      <c r="H81">
        <f>IFERROR(IF(PPR!J15="",0,PPR!J15),0)</f>
        <v>0</v>
      </c>
      <c r="I81" s="58" t="str">
        <f>IF(H81&gt;0, MAX(I$1:I80)+1, "")</f>
        <v/>
      </c>
    </row>
    <row r="82" spans="1:9" x14ac:dyDescent="0.2">
      <c r="A82" t="s">
        <v>1441</v>
      </c>
      <c r="B82" t="str">
        <f>PPR!A16</f>
        <v>Conducción Fluidos</v>
      </c>
      <c r="C82" t="str">
        <f>PPR!B16</f>
        <v>PP-R</v>
      </c>
      <c r="D82">
        <f>PPR!F16</f>
        <v>12106</v>
      </c>
      <c r="E82" t="str">
        <f>PPR!G16</f>
        <v>PPR TUBO 6M 50 PN20 N</v>
      </c>
      <c r="F82">
        <f>PPR!H16</f>
        <v>1</v>
      </c>
      <c r="G82" t="str">
        <f>PPR!I16</f>
        <v>Bolsa</v>
      </c>
      <c r="H82">
        <f>IFERROR(IF(PPR!J16="",0,PPR!J16),0)</f>
        <v>0</v>
      </c>
      <c r="I82" s="58" t="str">
        <f>IF(H82&gt;0, MAX(I$1:I81)+1, "")</f>
        <v/>
      </c>
    </row>
    <row r="83" spans="1:9" x14ac:dyDescent="0.2">
      <c r="A83" t="s">
        <v>1441</v>
      </c>
      <c r="B83" t="str">
        <f>PPR!A17</f>
        <v>Conducción Fluidos</v>
      </c>
      <c r="C83" t="str">
        <f>PPR!B17</f>
        <v>PP-R</v>
      </c>
      <c r="D83">
        <f>PPR!F17</f>
        <v>12107</v>
      </c>
      <c r="E83" t="str">
        <f>PPR!G17</f>
        <v>PPR TUBO 6M 63 PN20 N</v>
      </c>
      <c r="F83">
        <f>PPR!H17</f>
        <v>1</v>
      </c>
      <c r="G83" t="str">
        <f>PPR!I17</f>
        <v>Bolsa</v>
      </c>
      <c r="H83">
        <f>IFERROR(IF(PPR!J17="",0,PPR!J17),0)</f>
        <v>0</v>
      </c>
      <c r="I83" s="58" t="str">
        <f>IF(H83&gt;0, MAX(I$1:I82)+1, "")</f>
        <v/>
      </c>
    </row>
    <row r="84" spans="1:9" x14ac:dyDescent="0.2">
      <c r="A84" t="s">
        <v>1441</v>
      </c>
      <c r="B84" t="str">
        <f>PPR!A18</f>
        <v>Conducción Fluidos</v>
      </c>
      <c r="C84" t="str">
        <f>PPR!B18</f>
        <v>PP-R</v>
      </c>
      <c r="D84">
        <f>PPR!F18</f>
        <v>12108</v>
      </c>
      <c r="E84" t="str">
        <f>PPR!G18</f>
        <v>PPR TUBO 6M 75 PN20 N</v>
      </c>
      <c r="F84">
        <f>PPR!H18</f>
        <v>1</v>
      </c>
      <c r="G84" t="str">
        <f>PPR!I18</f>
        <v>Bolsa</v>
      </c>
      <c r="H84">
        <f>IFERROR(IF(PPR!J18="",0,PPR!J18),0)</f>
        <v>0</v>
      </c>
      <c r="I84" s="58" t="str">
        <f>IF(H84&gt;0, MAX(I$1:I83)+1, "")</f>
        <v/>
      </c>
    </row>
    <row r="85" spans="1:9" x14ac:dyDescent="0.2">
      <c r="A85" t="s">
        <v>1441</v>
      </c>
      <c r="B85" t="str">
        <f>PPR!A19</f>
        <v>Conducción Fluidos</v>
      </c>
      <c r="C85" t="str">
        <f>PPR!B19</f>
        <v>PP-R</v>
      </c>
      <c r="D85">
        <f>PPR!F19</f>
        <v>12109</v>
      </c>
      <c r="E85" t="str">
        <f>PPR!G19</f>
        <v>PPR TUBO 6M 90 PN20 N</v>
      </c>
      <c r="F85">
        <f>PPR!H19</f>
        <v>1</v>
      </c>
      <c r="G85" t="str">
        <f>PPR!I19</f>
        <v>Bolsa</v>
      </c>
      <c r="H85">
        <f>IFERROR(IF(PPR!J19="",0,PPR!J19),0)</f>
        <v>0</v>
      </c>
      <c r="I85" s="58" t="str">
        <f>IF(H85&gt;0, MAX(I$1:I84)+1, "")</f>
        <v/>
      </c>
    </row>
    <row r="86" spans="1:9" x14ac:dyDescent="0.2">
      <c r="A86" t="s">
        <v>1441</v>
      </c>
      <c r="B86" t="str">
        <f>PPR!A20</f>
        <v>Conducción Fluidos</v>
      </c>
      <c r="C86" t="str">
        <f>PPR!B20</f>
        <v>PP-R</v>
      </c>
      <c r="D86">
        <f>PPR!F20</f>
        <v>12110</v>
      </c>
      <c r="E86" t="str">
        <f>PPR!G20</f>
        <v>PPR TUBO 6M 110 PN20 N</v>
      </c>
      <c r="F86">
        <f>PPR!H20</f>
        <v>1</v>
      </c>
      <c r="G86" t="str">
        <f>PPR!I20</f>
        <v>Bolsa</v>
      </c>
      <c r="H86">
        <f>IFERROR(IF(PPR!J20="",0,PPR!J20),0)</f>
        <v>0</v>
      </c>
      <c r="I86" s="58" t="str">
        <f>IF(H86&gt;0, MAX(I$1:I85)+1, "")</f>
        <v/>
      </c>
    </row>
    <row r="87" spans="1:9" x14ac:dyDescent="0.2">
      <c r="A87" t="s">
        <v>1441</v>
      </c>
      <c r="B87" t="str">
        <f>PPR!A21</f>
        <v>Conducción Fluidos</v>
      </c>
      <c r="C87" t="str">
        <f>PPR!B21</f>
        <v>PP-R</v>
      </c>
      <c r="D87">
        <f>PPR!F21</f>
        <v>331202</v>
      </c>
      <c r="E87" t="str">
        <f>PPR!G21</f>
        <v>PPR FT CODO 45° 20 I</v>
      </c>
      <c r="F87">
        <f>PPR!H21</f>
        <v>40</v>
      </c>
      <c r="G87" t="str">
        <f>PPR!I21</f>
        <v>Bolsa</v>
      </c>
      <c r="H87">
        <f>IFERROR(IF(PPR!J21="",0,PPR!J21),0)</f>
        <v>0</v>
      </c>
      <c r="I87" s="58" t="str">
        <f>IF(H87&gt;0, MAX(I$1:I86)+1, "")</f>
        <v/>
      </c>
    </row>
    <row r="88" spans="1:9" x14ac:dyDescent="0.2">
      <c r="A88" t="s">
        <v>1441</v>
      </c>
      <c r="B88" t="str">
        <f>PPR!A22</f>
        <v>Conducción Fluidos</v>
      </c>
      <c r="C88" t="str">
        <f>PPR!B22</f>
        <v>PP-R</v>
      </c>
      <c r="D88">
        <f>PPR!F22</f>
        <v>331203</v>
      </c>
      <c r="E88" t="str">
        <f>PPR!G22</f>
        <v>PPR FT CODO 45° 25 I</v>
      </c>
      <c r="F88">
        <f>PPR!H22</f>
        <v>25</v>
      </c>
      <c r="G88" t="str">
        <f>PPR!I22</f>
        <v>Bolsa</v>
      </c>
      <c r="H88">
        <f>IFERROR(IF(PPR!J22="",0,PPR!J22),0)</f>
        <v>0</v>
      </c>
      <c r="I88" s="58" t="str">
        <f>IF(H88&gt;0, MAX(I$1:I87)+1, "")</f>
        <v/>
      </c>
    </row>
    <row r="89" spans="1:9" x14ac:dyDescent="0.2">
      <c r="A89" t="s">
        <v>1441</v>
      </c>
      <c r="B89" t="str">
        <f>PPR!A23</f>
        <v>Conducción Fluidos</v>
      </c>
      <c r="C89" t="str">
        <f>PPR!B23</f>
        <v>PP-R</v>
      </c>
      <c r="D89">
        <f>PPR!F23</f>
        <v>331204</v>
      </c>
      <c r="E89" t="str">
        <f>PPR!G23</f>
        <v>PPR FT CODO 45° 32 I</v>
      </c>
      <c r="F89">
        <f>PPR!H23</f>
        <v>10</v>
      </c>
      <c r="G89" t="str">
        <f>PPR!I23</f>
        <v>Bolsa</v>
      </c>
      <c r="H89">
        <f>IFERROR(IF(PPR!J23="",0,PPR!J23),0)</f>
        <v>0</v>
      </c>
      <c r="I89" s="58" t="str">
        <f>IF(H89&gt;0, MAX(I$1:I88)+1, "")</f>
        <v/>
      </c>
    </row>
    <row r="90" spans="1:9" x14ac:dyDescent="0.2">
      <c r="A90" t="s">
        <v>1441</v>
      </c>
      <c r="B90" t="str">
        <f>PPR!A24</f>
        <v>Conducción Fluidos</v>
      </c>
      <c r="C90" t="str">
        <f>PPR!B24</f>
        <v>PP-R</v>
      </c>
      <c r="D90">
        <f>PPR!F24</f>
        <v>331205</v>
      </c>
      <c r="E90" t="str">
        <f>PPR!G24</f>
        <v>PPR FT CODO 45° 40 I</v>
      </c>
      <c r="F90">
        <f>PPR!H24</f>
        <v>10</v>
      </c>
      <c r="G90" t="str">
        <f>PPR!I24</f>
        <v>Bolsa</v>
      </c>
      <c r="H90">
        <f>IFERROR(IF(PPR!J24="",0,PPR!J24),0)</f>
        <v>0</v>
      </c>
      <c r="I90" s="58" t="str">
        <f>IF(H90&gt;0, MAX(I$1:I89)+1, "")</f>
        <v/>
      </c>
    </row>
    <row r="91" spans="1:9" x14ac:dyDescent="0.2">
      <c r="A91" t="s">
        <v>1441</v>
      </c>
      <c r="B91" t="str">
        <f>PPR!A25</f>
        <v>Conducción Fluidos</v>
      </c>
      <c r="C91" t="str">
        <f>PPR!B25</f>
        <v>PP-R</v>
      </c>
      <c r="D91">
        <f>PPR!F25</f>
        <v>331206</v>
      </c>
      <c r="E91" t="str">
        <f>PPR!G25</f>
        <v>PPR FT CODO 45° 50 I</v>
      </c>
      <c r="F91">
        <f>PPR!H25</f>
        <v>9</v>
      </c>
      <c r="G91" t="str">
        <f>PPR!I25</f>
        <v>Bolsa</v>
      </c>
      <c r="H91">
        <f>IFERROR(IF(PPR!J25="",0,PPR!J25),0)</f>
        <v>0</v>
      </c>
      <c r="I91" s="58" t="str">
        <f>IF(H91&gt;0, MAX(I$1:I90)+1, "")</f>
        <v/>
      </c>
    </row>
    <row r="92" spans="1:9" x14ac:dyDescent="0.2">
      <c r="A92" t="s">
        <v>1441</v>
      </c>
      <c r="B92" t="str">
        <f>PPR!A26</f>
        <v>Conducción Fluidos</v>
      </c>
      <c r="C92" t="str">
        <f>PPR!B26</f>
        <v>PP-R</v>
      </c>
      <c r="D92">
        <f>PPR!F26</f>
        <v>331207</v>
      </c>
      <c r="E92" t="str">
        <f>PPR!G26</f>
        <v>PPR FT CODO 45° 63 I</v>
      </c>
      <c r="F92">
        <f>PPR!H26</f>
        <v>9</v>
      </c>
      <c r="G92" t="str">
        <f>PPR!I26</f>
        <v>Bolsa</v>
      </c>
      <c r="H92">
        <f>IFERROR(IF(PPR!J26="",0,PPR!J26),0)</f>
        <v>0</v>
      </c>
      <c r="I92" s="58" t="str">
        <f>IF(H92&gt;0, MAX(I$1:I91)+1, "")</f>
        <v/>
      </c>
    </row>
    <row r="93" spans="1:9" x14ac:dyDescent="0.2">
      <c r="A93" t="s">
        <v>1441</v>
      </c>
      <c r="B93" t="str">
        <f>PPR!A27</f>
        <v>Conducción Fluidos</v>
      </c>
      <c r="C93" t="str">
        <f>PPR!B27</f>
        <v>PP-R</v>
      </c>
      <c r="D93">
        <f>PPR!F27</f>
        <v>331208</v>
      </c>
      <c r="E93" t="str">
        <f>PPR!G27</f>
        <v>PPR FT CODO 45° 75 I</v>
      </c>
      <c r="F93">
        <f>PPR!H27</f>
        <v>6</v>
      </c>
      <c r="G93" t="str">
        <f>PPR!I27</f>
        <v>Bolsa</v>
      </c>
      <c r="H93">
        <f>IFERROR(IF(PPR!J27="",0,PPR!J27),0)</f>
        <v>0</v>
      </c>
      <c r="I93" s="58" t="str">
        <f>IF(H93&gt;0, MAX(I$1:I92)+1, "")</f>
        <v/>
      </c>
    </row>
    <row r="94" spans="1:9" x14ac:dyDescent="0.2">
      <c r="A94" t="s">
        <v>1441</v>
      </c>
      <c r="B94" t="str">
        <f>PPR!A28</f>
        <v>Conducción Fluidos</v>
      </c>
      <c r="C94" t="str">
        <f>PPR!B28</f>
        <v>PP-R</v>
      </c>
      <c r="D94">
        <f>PPR!F28</f>
        <v>331209</v>
      </c>
      <c r="E94" t="str">
        <f>PPR!G28</f>
        <v>PPR FT CODO 45° 90 I</v>
      </c>
      <c r="F94">
        <f>PPR!H28</f>
        <v>1</v>
      </c>
      <c r="G94" t="str">
        <f>PPR!I28</f>
        <v>Bolsa</v>
      </c>
      <c r="H94">
        <f>IFERROR(IF(PPR!J28="",0,PPR!J28),0)</f>
        <v>0</v>
      </c>
      <c r="I94" s="58" t="str">
        <f>IF(H94&gt;0, MAX(I$1:I93)+1, "")</f>
        <v/>
      </c>
    </row>
    <row r="95" spans="1:9" x14ac:dyDescent="0.2">
      <c r="A95" t="s">
        <v>1441</v>
      </c>
      <c r="B95" t="str">
        <f>PPR!A29</f>
        <v>Conducción Fluidos</v>
      </c>
      <c r="C95" t="str">
        <f>PPR!B29</f>
        <v>PP-R</v>
      </c>
      <c r="D95">
        <f>PPR!F29</f>
        <v>331210</v>
      </c>
      <c r="E95" t="str">
        <f>PPR!G29</f>
        <v>PPR FT CODO 45° 110 I</v>
      </c>
      <c r="F95">
        <f>PPR!H29</f>
        <v>1</v>
      </c>
      <c r="G95" t="str">
        <f>PPR!I29</f>
        <v>Bolsa</v>
      </c>
      <c r="H95">
        <f>IFERROR(IF(PPR!J29="",0,PPR!J29),0)</f>
        <v>0</v>
      </c>
      <c r="I95" s="58" t="str">
        <f>IF(H95&gt;0, MAX(I$1:I94)+1, "")</f>
        <v/>
      </c>
    </row>
    <row r="96" spans="1:9" x14ac:dyDescent="0.2">
      <c r="A96" t="s">
        <v>1441</v>
      </c>
      <c r="B96" t="str">
        <f>PPR!A30</f>
        <v>Conducción Fluidos</v>
      </c>
      <c r="C96" t="str">
        <f>PPR!B30</f>
        <v>PP-R</v>
      </c>
      <c r="D96">
        <f>PPR!F30</f>
        <v>331102</v>
      </c>
      <c r="E96" t="str">
        <f>PPR!G30</f>
        <v>PPR FT CODO 90° 20 I</v>
      </c>
      <c r="F96">
        <f>PPR!H30</f>
        <v>60</v>
      </c>
      <c r="G96" t="str">
        <f>PPR!I30</f>
        <v>Bolsa</v>
      </c>
      <c r="H96">
        <f>IFERROR(IF(PPR!J30="",0,PPR!J30),0)</f>
        <v>0</v>
      </c>
      <c r="I96" s="58" t="str">
        <f>IF(H96&gt;0, MAX(I$1:I95)+1, "")</f>
        <v/>
      </c>
    </row>
    <row r="97" spans="1:9" x14ac:dyDescent="0.2">
      <c r="A97" t="s">
        <v>1441</v>
      </c>
      <c r="B97" t="str">
        <f>PPR!A31</f>
        <v>Conducción Fluidos</v>
      </c>
      <c r="C97" t="str">
        <f>PPR!B31</f>
        <v>PP-R</v>
      </c>
      <c r="D97">
        <f>PPR!F31</f>
        <v>331103</v>
      </c>
      <c r="E97" t="str">
        <f>PPR!G31</f>
        <v>PPR FT CODO 90° 25 I</v>
      </c>
      <c r="F97">
        <f>PPR!H31</f>
        <v>20</v>
      </c>
      <c r="G97" t="str">
        <f>PPR!I31</f>
        <v>Bolsa</v>
      </c>
      <c r="H97">
        <f>IFERROR(IF(PPR!J31="",0,PPR!J31),0)</f>
        <v>0</v>
      </c>
      <c r="I97" s="58" t="str">
        <f>IF(H97&gt;0, MAX(I$1:I96)+1, "")</f>
        <v/>
      </c>
    </row>
    <row r="98" spans="1:9" x14ac:dyDescent="0.2">
      <c r="A98" t="s">
        <v>1441</v>
      </c>
      <c r="B98" t="str">
        <f>PPR!A32</f>
        <v>Conducción Fluidos</v>
      </c>
      <c r="C98" t="str">
        <f>PPR!B32</f>
        <v>PP-R</v>
      </c>
      <c r="D98">
        <f>PPR!F32</f>
        <v>331104</v>
      </c>
      <c r="E98" t="str">
        <f>PPR!G32</f>
        <v>PPR FT CODO 90° 32 I</v>
      </c>
      <c r="F98">
        <f>PPR!H32</f>
        <v>20</v>
      </c>
      <c r="G98" t="str">
        <f>PPR!I32</f>
        <v>Bolsa</v>
      </c>
      <c r="H98">
        <f>IFERROR(IF(PPR!J32="",0,PPR!J32),0)</f>
        <v>0</v>
      </c>
      <c r="I98" s="58" t="str">
        <f>IF(H98&gt;0, MAX(I$1:I97)+1, "")</f>
        <v/>
      </c>
    </row>
    <row r="99" spans="1:9" x14ac:dyDescent="0.2">
      <c r="A99" t="s">
        <v>1441</v>
      </c>
      <c r="B99" t="str">
        <f>PPR!A33</f>
        <v>Conducción Fluidos</v>
      </c>
      <c r="C99" t="str">
        <f>PPR!B33</f>
        <v>PP-R</v>
      </c>
      <c r="D99">
        <f>PPR!F33</f>
        <v>331105</v>
      </c>
      <c r="E99" t="str">
        <f>PPR!G33</f>
        <v>PPR FT CODO 90° 40 I</v>
      </c>
      <c r="F99">
        <f>PPR!H33</f>
        <v>10</v>
      </c>
      <c r="G99" t="str">
        <f>PPR!I33</f>
        <v>Bolsa</v>
      </c>
      <c r="H99">
        <f>IFERROR(IF(PPR!J33="",0,PPR!J33),0)</f>
        <v>0</v>
      </c>
      <c r="I99" s="58" t="str">
        <f>IF(H99&gt;0, MAX(I$1:I98)+1, "")</f>
        <v/>
      </c>
    </row>
    <row r="100" spans="1:9" x14ac:dyDescent="0.2">
      <c r="A100" t="s">
        <v>1441</v>
      </c>
      <c r="B100" t="str">
        <f>PPR!A34</f>
        <v>Conducción Fluidos</v>
      </c>
      <c r="C100" t="str">
        <f>PPR!B34</f>
        <v>PP-R</v>
      </c>
      <c r="D100">
        <f>PPR!F34</f>
        <v>331106</v>
      </c>
      <c r="E100" t="str">
        <f>PPR!G34</f>
        <v>PPR FT CODO 90° 50 I</v>
      </c>
      <c r="F100">
        <f>PPR!H34</f>
        <v>9</v>
      </c>
      <c r="G100" t="str">
        <f>PPR!I34</f>
        <v>Bolsa</v>
      </c>
      <c r="H100">
        <f>IFERROR(IF(PPR!J34="",0,PPR!J34),0)</f>
        <v>0</v>
      </c>
      <c r="I100" s="58" t="str">
        <f>IF(H100&gt;0, MAX(I$1:I99)+1, "")</f>
        <v/>
      </c>
    </row>
    <row r="101" spans="1:9" x14ac:dyDescent="0.2">
      <c r="A101" t="s">
        <v>1441</v>
      </c>
      <c r="B101" t="str">
        <f>PPR!A35</f>
        <v>Conducción Fluidos</v>
      </c>
      <c r="C101" t="str">
        <f>PPR!B35</f>
        <v>PP-R</v>
      </c>
      <c r="D101">
        <f>PPR!F35</f>
        <v>331107</v>
      </c>
      <c r="E101" t="str">
        <f>PPR!G35</f>
        <v>PPR FT CODO 90° 63 I</v>
      </c>
      <c r="F101">
        <f>PPR!H35</f>
        <v>6</v>
      </c>
      <c r="G101" t="str">
        <f>PPR!I35</f>
        <v>Bolsa</v>
      </c>
      <c r="H101">
        <f>IFERROR(IF(PPR!J35="",0,PPR!J35),0)</f>
        <v>0</v>
      </c>
      <c r="I101" s="58" t="str">
        <f>IF(H101&gt;0, MAX(I$1:I100)+1, "")</f>
        <v/>
      </c>
    </row>
    <row r="102" spans="1:9" x14ac:dyDescent="0.2">
      <c r="A102" t="s">
        <v>1441</v>
      </c>
      <c r="B102" t="str">
        <f>PPR!A36</f>
        <v>Conducción Fluidos</v>
      </c>
      <c r="C102" t="str">
        <f>PPR!B36</f>
        <v>PP-R</v>
      </c>
      <c r="D102">
        <f>PPR!F36</f>
        <v>331108</v>
      </c>
      <c r="E102" t="str">
        <f>PPR!G36</f>
        <v>PPR FT CODO 90° 75 I</v>
      </c>
      <c r="F102">
        <f>PPR!H36</f>
        <v>4</v>
      </c>
      <c r="G102" t="str">
        <f>PPR!I36</f>
        <v>Bolsa</v>
      </c>
      <c r="H102">
        <f>IFERROR(IF(PPR!J36="",0,PPR!J36),0)</f>
        <v>0</v>
      </c>
      <c r="I102" s="58" t="str">
        <f>IF(H102&gt;0, MAX(I$1:I101)+1, "")</f>
        <v/>
      </c>
    </row>
    <row r="103" spans="1:9" x14ac:dyDescent="0.2">
      <c r="A103" t="s">
        <v>1441</v>
      </c>
      <c r="B103" t="str">
        <f>PPR!A37</f>
        <v>Conducción Fluidos</v>
      </c>
      <c r="C103" t="str">
        <f>PPR!B37</f>
        <v>PP-R</v>
      </c>
      <c r="D103">
        <f>PPR!F37</f>
        <v>331109</v>
      </c>
      <c r="E103" t="str">
        <f>PPR!G37</f>
        <v>PPR FT CODO 90° 90 I</v>
      </c>
      <c r="F103">
        <f>PPR!H37</f>
        <v>2</v>
      </c>
      <c r="G103" t="str">
        <f>PPR!I37</f>
        <v>Bolsa</v>
      </c>
      <c r="H103">
        <f>IFERROR(IF(PPR!J37="",0,PPR!J37),0)</f>
        <v>0</v>
      </c>
      <c r="I103" s="58" t="str">
        <f>IF(H103&gt;0, MAX(I$1:I102)+1, "")</f>
        <v/>
      </c>
    </row>
    <row r="104" spans="1:9" x14ac:dyDescent="0.2">
      <c r="A104" t="s">
        <v>1441</v>
      </c>
      <c r="B104" t="str">
        <f>PPR!A38</f>
        <v>Conducción Fluidos</v>
      </c>
      <c r="C104" t="str">
        <f>PPR!B38</f>
        <v>PP-R</v>
      </c>
      <c r="D104">
        <f>PPR!F38</f>
        <v>331110</v>
      </c>
      <c r="E104" t="str">
        <f>PPR!G38</f>
        <v>PPR FT CODO 90° 110 I</v>
      </c>
      <c r="F104">
        <f>PPR!H38</f>
        <v>1</v>
      </c>
      <c r="G104" t="str">
        <f>PPR!I38</f>
        <v>Bolsa</v>
      </c>
      <c r="H104">
        <f>IFERROR(IF(PPR!J38="",0,PPR!J38),0)</f>
        <v>0</v>
      </c>
      <c r="I104" s="58" t="str">
        <f>IF(H104&gt;0, MAX(I$1:I103)+1, "")</f>
        <v/>
      </c>
    </row>
    <row r="105" spans="1:9" x14ac:dyDescent="0.2">
      <c r="A105" t="s">
        <v>1441</v>
      </c>
      <c r="B105" t="str">
        <f>PPR!A39</f>
        <v>Conducción Fluidos</v>
      </c>
      <c r="C105" t="str">
        <f>PPR!B39</f>
        <v>PP-R</v>
      </c>
      <c r="D105">
        <f>PPR!F39</f>
        <v>332302</v>
      </c>
      <c r="E105" t="str">
        <f>PPR!G39</f>
        <v>PPR FT CODO 90° HE MET 20 1/2' I</v>
      </c>
      <c r="F105">
        <f>PPR!H39</f>
        <v>10</v>
      </c>
      <c r="G105" t="str">
        <f>PPR!I39</f>
        <v>Bolsa</v>
      </c>
      <c r="H105">
        <f>IFERROR(IF(PPR!J39="",0,PPR!J39),0)</f>
        <v>0</v>
      </c>
      <c r="I105" s="58" t="str">
        <f>IF(H105&gt;0, MAX(I$1:I104)+1, "")</f>
        <v/>
      </c>
    </row>
    <row r="106" spans="1:9" x14ac:dyDescent="0.2">
      <c r="A106" t="s">
        <v>1441</v>
      </c>
      <c r="B106" t="str">
        <f>PPR!A40</f>
        <v>Conducción Fluidos</v>
      </c>
      <c r="C106" t="str">
        <f>PPR!B40</f>
        <v>PP-R</v>
      </c>
      <c r="D106">
        <f>PPR!F40</f>
        <v>332308</v>
      </c>
      <c r="E106" t="str">
        <f>PPR!G40</f>
        <v>PPR FT CODO 90° HE MET 20 3/4' I</v>
      </c>
      <c r="F106">
        <f>PPR!H40</f>
        <v>10</v>
      </c>
      <c r="G106" t="str">
        <f>PPR!I40</f>
        <v>Bolsa</v>
      </c>
      <c r="H106">
        <f>IFERROR(IF(PPR!J40="",0,PPR!J40),0)</f>
        <v>0</v>
      </c>
      <c r="I106" s="58" t="str">
        <f>IF(H106&gt;0, MAX(I$1:I105)+1, "")</f>
        <v/>
      </c>
    </row>
    <row r="107" spans="1:9" x14ac:dyDescent="0.2">
      <c r="A107" t="s">
        <v>1441</v>
      </c>
      <c r="B107" t="str">
        <f>PPR!A41</f>
        <v>Conducción Fluidos</v>
      </c>
      <c r="C107" t="str">
        <f>PPR!B41</f>
        <v>PP-R</v>
      </c>
      <c r="D107">
        <f>PPR!F41</f>
        <v>332303</v>
      </c>
      <c r="E107" t="str">
        <f>PPR!G41</f>
        <v>PPR FT CODO 90° HE MET 25 1/2' I</v>
      </c>
      <c r="F107">
        <f>PPR!H41</f>
        <v>10</v>
      </c>
      <c r="G107" t="str">
        <f>PPR!I41</f>
        <v>Bolsa</v>
      </c>
      <c r="H107">
        <f>IFERROR(IF(PPR!J41="",0,PPR!J41),0)</f>
        <v>0</v>
      </c>
      <c r="I107" s="58" t="str">
        <f>IF(H107&gt;0, MAX(I$1:I106)+1, "")</f>
        <v/>
      </c>
    </row>
    <row r="108" spans="1:9" x14ac:dyDescent="0.2">
      <c r="A108" t="s">
        <v>1441</v>
      </c>
      <c r="B108" t="str">
        <f>PPR!A42</f>
        <v>Conducción Fluidos</v>
      </c>
      <c r="C108" t="str">
        <f>PPR!B42</f>
        <v>PP-R</v>
      </c>
      <c r="D108">
        <f>PPR!F42</f>
        <v>332304</v>
      </c>
      <c r="E108" t="str">
        <f>PPR!G42</f>
        <v>PPR FT CODO 90° HE MET 25 3/4' I</v>
      </c>
      <c r="F108">
        <f>PPR!H42</f>
        <v>10</v>
      </c>
      <c r="G108" t="str">
        <f>PPR!I42</f>
        <v>Bolsa</v>
      </c>
      <c r="H108">
        <f>IFERROR(IF(PPR!J42="",0,PPR!J42),0)</f>
        <v>0</v>
      </c>
      <c r="I108" s="58" t="str">
        <f>IF(H108&gt;0, MAX(I$1:I107)+1, "")</f>
        <v/>
      </c>
    </row>
    <row r="109" spans="1:9" x14ac:dyDescent="0.2">
      <c r="A109" t="s">
        <v>1441</v>
      </c>
      <c r="B109" t="str">
        <f>PPR!A43</f>
        <v>Conducción Fluidos</v>
      </c>
      <c r="C109" t="str">
        <f>PPR!B43</f>
        <v>PP-R</v>
      </c>
      <c r="D109">
        <f>PPR!F43</f>
        <v>332306</v>
      </c>
      <c r="E109" t="str">
        <f>PPR!G43</f>
        <v>PPR FT CODO 90° HE MET 32 1/2' I</v>
      </c>
      <c r="F109">
        <f>PPR!H43</f>
        <v>10</v>
      </c>
      <c r="G109" t="str">
        <f>PPR!I43</f>
        <v>Bolsa</v>
      </c>
      <c r="H109">
        <f>IFERROR(IF(PPR!J43="",0,PPR!J43),0)</f>
        <v>0</v>
      </c>
      <c r="I109" s="58" t="str">
        <f>IF(H109&gt;0, MAX(I$1:I108)+1, "")</f>
        <v/>
      </c>
    </row>
    <row r="110" spans="1:9" x14ac:dyDescent="0.2">
      <c r="A110" t="s">
        <v>1441</v>
      </c>
      <c r="B110" t="str">
        <f>PPR!A44</f>
        <v>Conducción Fluidos</v>
      </c>
      <c r="C110" t="str">
        <f>PPR!B44</f>
        <v>PP-R</v>
      </c>
      <c r="D110">
        <f>PPR!F44</f>
        <v>332307</v>
      </c>
      <c r="E110" t="str">
        <f>PPR!G44</f>
        <v>PPR FT CODO 90° HE MET 32 3/4' I</v>
      </c>
      <c r="F110">
        <f>PPR!H44</f>
        <v>10</v>
      </c>
      <c r="G110" t="str">
        <f>PPR!I44</f>
        <v>Bolsa</v>
      </c>
      <c r="H110">
        <f>IFERROR(IF(PPR!J44="",0,PPR!J44),0)</f>
        <v>0</v>
      </c>
      <c r="I110" s="58" t="str">
        <f>IF(H110&gt;0, MAX(I$1:I109)+1, "")</f>
        <v/>
      </c>
    </row>
    <row r="111" spans="1:9" x14ac:dyDescent="0.2">
      <c r="A111" t="s">
        <v>1441</v>
      </c>
      <c r="B111" t="str">
        <f>PPR!A45</f>
        <v>Conducción Fluidos</v>
      </c>
      <c r="C111" t="str">
        <f>PPR!B45</f>
        <v>PP-R</v>
      </c>
      <c r="D111">
        <f>PPR!F45</f>
        <v>332305</v>
      </c>
      <c r="E111" t="str">
        <f>PPR!G45</f>
        <v>PPR FT CODO 90° HE MET 32 1' I</v>
      </c>
      <c r="F111">
        <f>PPR!H45</f>
        <v>10</v>
      </c>
      <c r="G111" t="str">
        <f>PPR!I45</f>
        <v>Bolsa</v>
      </c>
      <c r="H111">
        <f>IFERROR(IF(PPR!J45="",0,PPR!J45),0)</f>
        <v>0</v>
      </c>
      <c r="I111" s="58" t="str">
        <f>IF(H111&gt;0, MAX(I$1:I110)+1, "")</f>
        <v/>
      </c>
    </row>
    <row r="112" spans="1:9" x14ac:dyDescent="0.2">
      <c r="A112" t="s">
        <v>1441</v>
      </c>
      <c r="B112" t="str">
        <f>PPR!A46</f>
        <v>Conducción Fluidos</v>
      </c>
      <c r="C112" t="str">
        <f>PPR!B46</f>
        <v>PP-R</v>
      </c>
      <c r="D112">
        <f>PPR!F46</f>
        <v>331902</v>
      </c>
      <c r="E112" t="str">
        <f>PPR!G46</f>
        <v>PPR FT CODO 90° HI MET 20 1/2' I</v>
      </c>
      <c r="F112">
        <f>PPR!H46</f>
        <v>10</v>
      </c>
      <c r="G112" t="str">
        <f>PPR!I46</f>
        <v>Bolsa</v>
      </c>
      <c r="H112">
        <f>IFERROR(IF(PPR!J46="",0,PPR!J46),0)</f>
        <v>0</v>
      </c>
      <c r="I112" s="58" t="str">
        <f>IF(H112&gt;0, MAX(I$1:I111)+1, "")</f>
        <v/>
      </c>
    </row>
    <row r="113" spans="1:9" x14ac:dyDescent="0.2">
      <c r="A113" t="s">
        <v>1441</v>
      </c>
      <c r="B113" t="str">
        <f>PPR!A47</f>
        <v>Conducción Fluidos</v>
      </c>
      <c r="C113" t="str">
        <f>PPR!B47</f>
        <v>PP-R</v>
      </c>
      <c r="D113">
        <f>PPR!F47</f>
        <v>331908</v>
      </c>
      <c r="E113" t="str">
        <f>PPR!G47</f>
        <v>PPR FT CODO 90° HI MET 20 3/4' I</v>
      </c>
      <c r="F113">
        <f>PPR!H47</f>
        <v>10</v>
      </c>
      <c r="G113" t="str">
        <f>PPR!I47</f>
        <v>Bolsa</v>
      </c>
      <c r="H113">
        <f>IFERROR(IF(PPR!J47="",0,PPR!J47),0)</f>
        <v>0</v>
      </c>
      <c r="I113" s="58" t="str">
        <f>IF(H113&gt;0, MAX(I$1:I112)+1, "")</f>
        <v/>
      </c>
    </row>
    <row r="114" spans="1:9" x14ac:dyDescent="0.2">
      <c r="A114" t="s">
        <v>1441</v>
      </c>
      <c r="B114" t="str">
        <f>PPR!A48</f>
        <v>Conducción Fluidos</v>
      </c>
      <c r="C114" t="str">
        <f>PPR!B48</f>
        <v>PP-R</v>
      </c>
      <c r="D114">
        <f>PPR!F48</f>
        <v>331903</v>
      </c>
      <c r="E114" t="str">
        <f>PPR!G48</f>
        <v>PPR FT CODO 90° HI MET 25 1/2' I</v>
      </c>
      <c r="F114">
        <f>PPR!H48</f>
        <v>10</v>
      </c>
      <c r="G114" t="str">
        <f>PPR!I48</f>
        <v>Bolsa</v>
      </c>
      <c r="H114">
        <f>IFERROR(IF(PPR!J48="",0,PPR!J48),0)</f>
        <v>0</v>
      </c>
      <c r="I114" s="58" t="str">
        <f>IF(H114&gt;0, MAX(I$1:I113)+1, "")</f>
        <v/>
      </c>
    </row>
    <row r="115" spans="1:9" x14ac:dyDescent="0.2">
      <c r="A115" t="s">
        <v>1441</v>
      </c>
      <c r="B115" t="str">
        <f>PPR!A49</f>
        <v>Conducción Fluidos</v>
      </c>
      <c r="C115" t="str">
        <f>PPR!B49</f>
        <v>PP-R</v>
      </c>
      <c r="D115">
        <f>PPR!F49</f>
        <v>331904</v>
      </c>
      <c r="E115" t="str">
        <f>PPR!G49</f>
        <v>PPR FT CODO 90° HI MET 25 3/4' I</v>
      </c>
      <c r="F115">
        <f>PPR!H49</f>
        <v>10</v>
      </c>
      <c r="G115" t="str">
        <f>PPR!I49</f>
        <v>Bolsa</v>
      </c>
      <c r="H115">
        <f>IFERROR(IF(PPR!J49="",0,PPR!J49),0)</f>
        <v>0</v>
      </c>
      <c r="I115" s="58" t="str">
        <f>IF(H115&gt;0, MAX(I$1:I114)+1, "")</f>
        <v/>
      </c>
    </row>
    <row r="116" spans="1:9" x14ac:dyDescent="0.2">
      <c r="A116" t="s">
        <v>1441</v>
      </c>
      <c r="B116" t="str">
        <f>PPR!A50</f>
        <v>Conducción Fluidos</v>
      </c>
      <c r="C116" t="str">
        <f>PPR!B50</f>
        <v>PP-R</v>
      </c>
      <c r="D116">
        <f>PPR!F50</f>
        <v>331906</v>
      </c>
      <c r="E116" t="str">
        <f>PPR!G50</f>
        <v>PPR FT CODO 90° HI MET 32 1/2' I</v>
      </c>
      <c r="F116">
        <f>PPR!H50</f>
        <v>10</v>
      </c>
      <c r="G116" t="str">
        <f>PPR!I50</f>
        <v>Bolsa</v>
      </c>
      <c r="H116">
        <f>IFERROR(IF(PPR!J50="",0,PPR!J50),0)</f>
        <v>0</v>
      </c>
      <c r="I116" s="58" t="str">
        <f>IF(H116&gt;0, MAX(I$1:I115)+1, "")</f>
        <v/>
      </c>
    </row>
    <row r="117" spans="1:9" x14ac:dyDescent="0.2">
      <c r="A117" t="s">
        <v>1441</v>
      </c>
      <c r="B117" t="str">
        <f>PPR!A51</f>
        <v>Conducción Fluidos</v>
      </c>
      <c r="C117" t="str">
        <f>PPR!B51</f>
        <v>PP-R</v>
      </c>
      <c r="D117">
        <f>PPR!F51</f>
        <v>331907</v>
      </c>
      <c r="E117" t="str">
        <f>PPR!G51</f>
        <v>PPR FT CODO 90° HI MET 32 3/4' I</v>
      </c>
      <c r="F117">
        <f>PPR!H51</f>
        <v>10</v>
      </c>
      <c r="G117" t="str">
        <f>PPR!I51</f>
        <v>Bolsa</v>
      </c>
      <c r="H117">
        <f>IFERROR(IF(PPR!J51="",0,PPR!J51),0)</f>
        <v>0</v>
      </c>
      <c r="I117" s="58" t="str">
        <f>IF(H117&gt;0, MAX(I$1:I116)+1, "")</f>
        <v/>
      </c>
    </row>
    <row r="118" spans="1:9" x14ac:dyDescent="0.2">
      <c r="A118" t="s">
        <v>1441</v>
      </c>
      <c r="B118" t="str">
        <f>PPR!A52</f>
        <v>Conducción Fluidos</v>
      </c>
      <c r="C118" t="str">
        <f>PPR!B52</f>
        <v>PP-R</v>
      </c>
      <c r="D118">
        <f>PPR!F52</f>
        <v>331905</v>
      </c>
      <c r="E118" t="str">
        <f>PPR!G52</f>
        <v>PPR FT CODO 90° HI MET 32 1' I</v>
      </c>
      <c r="F118">
        <f>PPR!H52</f>
        <v>10</v>
      </c>
      <c r="G118" t="str">
        <f>PPR!I52</f>
        <v>Bolsa</v>
      </c>
      <c r="H118">
        <f>IFERROR(IF(PPR!J52="",0,PPR!J52),0)</f>
        <v>0</v>
      </c>
      <c r="I118" s="58" t="str">
        <f>IF(H118&gt;0, MAX(I$1:I117)+1, "")</f>
        <v/>
      </c>
    </row>
    <row r="119" spans="1:9" x14ac:dyDescent="0.2">
      <c r="A119" t="s">
        <v>1441</v>
      </c>
      <c r="B119" t="str">
        <f>PPR!A53</f>
        <v>Conducción Fluidos</v>
      </c>
      <c r="C119" t="str">
        <f>PPR!B53</f>
        <v>PP-R</v>
      </c>
      <c r="D119">
        <f>PPR!F53</f>
        <v>331702</v>
      </c>
      <c r="E119" t="str">
        <f>PPR!G53</f>
        <v>PPR FT CODO RED 25 20 I</v>
      </c>
      <c r="F119">
        <f>PPR!H53</f>
        <v>25</v>
      </c>
      <c r="G119" t="str">
        <f>PPR!I53</f>
        <v>Bolsa</v>
      </c>
      <c r="H119">
        <f>IFERROR(IF(PPR!J53="",0,PPR!J53),0)</f>
        <v>0</v>
      </c>
      <c r="I119" s="58" t="str">
        <f>IF(H119&gt;0, MAX(I$1:I118)+1, "")</f>
        <v/>
      </c>
    </row>
    <row r="120" spans="1:9" x14ac:dyDescent="0.2">
      <c r="A120" t="s">
        <v>1441</v>
      </c>
      <c r="B120" t="str">
        <f>PPR!A54</f>
        <v>Conducción Fluidos</v>
      </c>
      <c r="C120" t="str">
        <f>PPR!B54</f>
        <v>PP-R</v>
      </c>
      <c r="D120">
        <f>PPR!F54</f>
        <v>331703</v>
      </c>
      <c r="E120" t="str">
        <f>PPR!G54</f>
        <v>PPR FT CODO RED 32 20 I</v>
      </c>
      <c r="F120">
        <f>PPR!H54</f>
        <v>20</v>
      </c>
      <c r="G120" t="str">
        <f>PPR!I54</f>
        <v>Bolsa</v>
      </c>
      <c r="H120">
        <f>IFERROR(IF(PPR!J54="",0,PPR!J54),0)</f>
        <v>0</v>
      </c>
      <c r="I120" s="58" t="str">
        <f>IF(H120&gt;0, MAX(I$1:I119)+1, "")</f>
        <v/>
      </c>
    </row>
    <row r="121" spans="1:9" x14ac:dyDescent="0.2">
      <c r="A121" t="s">
        <v>1441</v>
      </c>
      <c r="B121" t="str">
        <f>PPR!A55</f>
        <v>Conducción Fluidos</v>
      </c>
      <c r="C121" t="str">
        <f>PPR!B55</f>
        <v>PP-R</v>
      </c>
      <c r="D121">
        <f>PPR!F55</f>
        <v>331704</v>
      </c>
      <c r="E121" t="str">
        <f>PPR!G55</f>
        <v>PPR FT CODO RED 32 25 I</v>
      </c>
      <c r="F121">
        <f>PPR!H55</f>
        <v>20</v>
      </c>
      <c r="G121" t="str">
        <f>PPR!I55</f>
        <v>Bolsa</v>
      </c>
      <c r="H121">
        <f>IFERROR(IF(PPR!J55="",0,PPR!J55),0)</f>
        <v>0</v>
      </c>
      <c r="I121" s="58" t="str">
        <f>IF(H121&gt;0, MAX(I$1:I120)+1, "")</f>
        <v/>
      </c>
    </row>
    <row r="122" spans="1:9" x14ac:dyDescent="0.2">
      <c r="A122" t="s">
        <v>1441</v>
      </c>
      <c r="B122" t="str">
        <f>PPR!A56</f>
        <v>Conducción Fluidos</v>
      </c>
      <c r="C122" t="str">
        <f>PPR!B56</f>
        <v>PP-R</v>
      </c>
      <c r="D122">
        <f>PPR!F56</f>
        <v>332202</v>
      </c>
      <c r="E122" t="str">
        <f>PPR!G56</f>
        <v>PPR FT CODO 90° HE MET C/SOP 20 1/2' I</v>
      </c>
      <c r="F122">
        <f>PPR!H56</f>
        <v>9</v>
      </c>
      <c r="G122" t="str">
        <f>PPR!I56</f>
        <v>Bolsa</v>
      </c>
      <c r="H122">
        <f>IFERROR(IF(PPR!J56="",0,PPR!J56),0)</f>
        <v>0</v>
      </c>
      <c r="I122" s="58" t="str">
        <f>IF(H122&gt;0, MAX(I$1:I121)+1, "")</f>
        <v/>
      </c>
    </row>
    <row r="123" spans="1:9" x14ac:dyDescent="0.2">
      <c r="A123" t="s">
        <v>1441</v>
      </c>
      <c r="B123" t="str">
        <f>PPR!A57</f>
        <v>Conducción Fluidos</v>
      </c>
      <c r="C123" t="str">
        <f>PPR!B57</f>
        <v>PP-R</v>
      </c>
      <c r="D123">
        <f>PPR!F57</f>
        <v>332203</v>
      </c>
      <c r="E123" t="str">
        <f>PPR!G57</f>
        <v>PPR FT CODO 90° HE MET C/SOP 25 1/2' I</v>
      </c>
      <c r="F123">
        <f>PPR!H57</f>
        <v>9</v>
      </c>
      <c r="G123" t="str">
        <f>PPR!I57</f>
        <v>Bolsa</v>
      </c>
      <c r="H123">
        <f>IFERROR(IF(PPR!J57="",0,PPR!J57),0)</f>
        <v>0</v>
      </c>
      <c r="I123" s="58" t="str">
        <f>IF(H123&gt;0, MAX(I$1:I122)+1, "")</f>
        <v/>
      </c>
    </row>
    <row r="124" spans="1:9" x14ac:dyDescent="0.2">
      <c r="A124" t="s">
        <v>1441</v>
      </c>
      <c r="B124" t="str">
        <f>PPR!A58</f>
        <v>Conducción Fluidos</v>
      </c>
      <c r="C124" t="str">
        <f>PPR!B58</f>
        <v>PP-R</v>
      </c>
      <c r="D124">
        <f>PPR!F58</f>
        <v>332204</v>
      </c>
      <c r="E124" t="str">
        <f>PPR!G58</f>
        <v>PPR FT CODO 90° HE MET C/SOP 25 3/4' I</v>
      </c>
      <c r="F124">
        <f>PPR!H58</f>
        <v>9</v>
      </c>
      <c r="G124" t="str">
        <f>PPR!I58</f>
        <v>Bolsa</v>
      </c>
      <c r="H124">
        <f>IFERROR(IF(PPR!J58="",0,PPR!J58),0)</f>
        <v>0</v>
      </c>
      <c r="I124" s="58" t="str">
        <f>IF(H124&gt;0, MAX(I$1:I123)+1, "")</f>
        <v/>
      </c>
    </row>
    <row r="125" spans="1:9" x14ac:dyDescent="0.2">
      <c r="A125" t="s">
        <v>1441</v>
      </c>
      <c r="B125" t="str">
        <f>PPR!A59</f>
        <v>Conducción Fluidos</v>
      </c>
      <c r="C125" t="str">
        <f>PPR!B59</f>
        <v>PP-R</v>
      </c>
      <c r="D125">
        <f>PPR!F59</f>
        <v>332002</v>
      </c>
      <c r="E125" t="str">
        <f>PPR!G59</f>
        <v>PPR FT CODO 90° HI MET C/SOP 20 1/2' I</v>
      </c>
      <c r="F125">
        <f>PPR!H59</f>
        <v>10</v>
      </c>
      <c r="G125" t="str">
        <f>PPR!I59</f>
        <v>Bolsa</v>
      </c>
      <c r="H125">
        <f>IFERROR(IF(PPR!J59="",0,PPR!J59),0)</f>
        <v>0</v>
      </c>
      <c r="I125" s="58" t="str">
        <f>IF(H125&gt;0, MAX(I$1:I124)+1, "")</f>
        <v/>
      </c>
    </row>
    <row r="126" spans="1:9" x14ac:dyDescent="0.2">
      <c r="A126" t="s">
        <v>1441</v>
      </c>
      <c r="B126" t="str">
        <f>PPR!A60</f>
        <v>Conducción Fluidos</v>
      </c>
      <c r="C126" t="str">
        <f>PPR!B60</f>
        <v>PP-R</v>
      </c>
      <c r="D126">
        <f>PPR!F60</f>
        <v>332003</v>
      </c>
      <c r="E126" t="str">
        <f>PPR!G60</f>
        <v>PPR FT CODO 90° HI MET C/SOP 25 1/2' I</v>
      </c>
      <c r="F126">
        <f>PPR!H60</f>
        <v>10</v>
      </c>
      <c r="G126" t="str">
        <f>PPR!I60</f>
        <v>Bolsa</v>
      </c>
      <c r="H126">
        <f>IFERROR(IF(PPR!J60="",0,PPR!J60),0)</f>
        <v>0</v>
      </c>
      <c r="I126" s="58" t="str">
        <f>IF(H126&gt;0, MAX(I$1:I125)+1, "")</f>
        <v/>
      </c>
    </row>
    <row r="127" spans="1:9" x14ac:dyDescent="0.2">
      <c r="A127" t="s">
        <v>1441</v>
      </c>
      <c r="B127" t="str">
        <f>PPR!A61</f>
        <v>Conducción Fluidos</v>
      </c>
      <c r="C127" t="str">
        <f>PPR!B61</f>
        <v>PP-R</v>
      </c>
      <c r="D127">
        <f>PPR!F61</f>
        <v>332004</v>
      </c>
      <c r="E127" t="str">
        <f>PPR!G61</f>
        <v>PPR FT CODO 90° HI MET C/SOP 25 3/4' I</v>
      </c>
      <c r="F127">
        <f>PPR!H61</f>
        <v>10</v>
      </c>
      <c r="G127" t="str">
        <f>PPR!I61</f>
        <v>Bolsa</v>
      </c>
      <c r="H127">
        <f>IFERROR(IF(PPR!J61="",0,PPR!J61),0)</f>
        <v>0</v>
      </c>
      <c r="I127" s="58" t="str">
        <f>IF(H127&gt;0, MAX(I$1:I126)+1, "")</f>
        <v/>
      </c>
    </row>
    <row r="128" spans="1:9" x14ac:dyDescent="0.2">
      <c r="A128" t="s">
        <v>1441</v>
      </c>
      <c r="B128" t="str">
        <f>PPR!A62</f>
        <v>Conducción Fluidos</v>
      </c>
      <c r="C128" t="str">
        <f>PPR!B62</f>
        <v>PP-R</v>
      </c>
      <c r="D128">
        <f>PPR!F62</f>
        <v>332101</v>
      </c>
      <c r="E128" t="str">
        <f>PPR!G62</f>
        <v>PPR FT CODO 90 HI MET S/DOB 20 1/2' I</v>
      </c>
      <c r="F128">
        <f>PPR!H62</f>
        <v>5</v>
      </c>
      <c r="G128" t="str">
        <f>PPR!I62</f>
        <v>Bolsa</v>
      </c>
      <c r="H128">
        <f>IFERROR(IF(PPR!J62="",0,PPR!J62),0)</f>
        <v>0</v>
      </c>
      <c r="I128" s="58" t="str">
        <f>IF(H128&gt;0, MAX(I$1:I127)+1, "")</f>
        <v/>
      </c>
    </row>
    <row r="129" spans="1:9" x14ac:dyDescent="0.2">
      <c r="A129" t="s">
        <v>1441</v>
      </c>
      <c r="B129" t="str">
        <f>PPR!A63</f>
        <v>Conducción Fluidos</v>
      </c>
      <c r="C129" t="str">
        <f>PPR!B63</f>
        <v>PP-R</v>
      </c>
      <c r="D129">
        <f>PPR!F63</f>
        <v>332102</v>
      </c>
      <c r="E129" t="str">
        <f>PPR!G63</f>
        <v>PPR FT CODO 90 HI MET S/DOB 25 1/2' I</v>
      </c>
      <c r="F129">
        <f>PPR!H63</f>
        <v>5</v>
      </c>
      <c r="G129" t="str">
        <f>PPR!I63</f>
        <v>Bolsa</v>
      </c>
      <c r="H129">
        <f>IFERROR(IF(PPR!J63="",0,PPR!J63),0)</f>
        <v>0</v>
      </c>
      <c r="I129" s="58" t="str">
        <f>IF(H129&gt;0, MAX(I$1:I128)+1, "")</f>
        <v/>
      </c>
    </row>
    <row r="130" spans="1:9" x14ac:dyDescent="0.2">
      <c r="A130" t="s">
        <v>1441</v>
      </c>
      <c r="B130" t="str">
        <f>PPR!A64</f>
        <v>Conducción Fluidos</v>
      </c>
      <c r="C130" t="str">
        <f>PPR!B64</f>
        <v>PP-R</v>
      </c>
      <c r="D130">
        <f>PPR!F64</f>
        <v>331402</v>
      </c>
      <c r="E130" t="str">
        <f>PPR!G64</f>
        <v>PPR FT COPLA 20 I</v>
      </c>
      <c r="F130">
        <f>PPR!H64</f>
        <v>50</v>
      </c>
      <c r="G130" t="str">
        <f>PPR!I64</f>
        <v>Bolsa</v>
      </c>
      <c r="H130">
        <f>IFERROR(IF(PPR!J64="",0,PPR!J64),0)</f>
        <v>0</v>
      </c>
      <c r="I130" s="58" t="str">
        <f>IF(H130&gt;0, MAX(I$1:I129)+1, "")</f>
        <v/>
      </c>
    </row>
    <row r="131" spans="1:9" x14ac:dyDescent="0.2">
      <c r="A131" t="s">
        <v>1441</v>
      </c>
      <c r="B131" t="str">
        <f>PPR!A65</f>
        <v>Conducción Fluidos</v>
      </c>
      <c r="C131" t="str">
        <f>PPR!B65</f>
        <v>PP-R</v>
      </c>
      <c r="D131">
        <f>PPR!F65</f>
        <v>331403</v>
      </c>
      <c r="E131" t="str">
        <f>PPR!G65</f>
        <v>PPR FT COPLA 25 I</v>
      </c>
      <c r="F131">
        <f>PPR!H65</f>
        <v>30</v>
      </c>
      <c r="G131" t="str">
        <f>PPR!I65</f>
        <v>Bolsa</v>
      </c>
      <c r="H131">
        <f>IFERROR(IF(PPR!J65="",0,PPR!J65),0)</f>
        <v>0</v>
      </c>
      <c r="I131" s="58" t="str">
        <f>IF(H131&gt;0, MAX(I$1:I130)+1, "")</f>
        <v/>
      </c>
    </row>
    <row r="132" spans="1:9" x14ac:dyDescent="0.2">
      <c r="A132" t="s">
        <v>1441</v>
      </c>
      <c r="B132" t="str">
        <f>PPR!A66</f>
        <v>Conducción Fluidos</v>
      </c>
      <c r="C132" t="str">
        <f>PPR!B66</f>
        <v>PP-R</v>
      </c>
      <c r="D132">
        <f>PPR!F66</f>
        <v>331404</v>
      </c>
      <c r="E132" t="str">
        <f>PPR!G66</f>
        <v>PPR FT COPLA 32 I</v>
      </c>
      <c r="F132">
        <f>PPR!H66</f>
        <v>20</v>
      </c>
      <c r="G132" t="str">
        <f>PPR!I66</f>
        <v>Bolsa</v>
      </c>
      <c r="H132">
        <f>IFERROR(IF(PPR!J66="",0,PPR!J66),0)</f>
        <v>0</v>
      </c>
      <c r="I132" s="58" t="str">
        <f>IF(H132&gt;0, MAX(I$1:I131)+1, "")</f>
        <v/>
      </c>
    </row>
    <row r="133" spans="1:9" x14ac:dyDescent="0.2">
      <c r="A133" t="s">
        <v>1441</v>
      </c>
      <c r="B133" t="str">
        <f>PPR!A67</f>
        <v>Conducción Fluidos</v>
      </c>
      <c r="C133" t="str">
        <f>PPR!B67</f>
        <v>PP-R</v>
      </c>
      <c r="D133">
        <f>PPR!F67</f>
        <v>331405</v>
      </c>
      <c r="E133" t="str">
        <f>PPR!G67</f>
        <v>PPR FT COPLA 40 I</v>
      </c>
      <c r="F133">
        <f>PPR!H67</f>
        <v>10</v>
      </c>
      <c r="G133" t="str">
        <f>PPR!I67</f>
        <v>Bolsa</v>
      </c>
      <c r="H133">
        <f>IFERROR(IF(PPR!J67="",0,PPR!J67),0)</f>
        <v>0</v>
      </c>
      <c r="I133" s="58" t="str">
        <f>IF(H133&gt;0, MAX(I$1:I132)+1, "")</f>
        <v/>
      </c>
    </row>
    <row r="134" spans="1:9" x14ac:dyDescent="0.2">
      <c r="A134" t="s">
        <v>1441</v>
      </c>
      <c r="B134" t="str">
        <f>PPR!A68</f>
        <v>Conducción Fluidos</v>
      </c>
      <c r="C134" t="str">
        <f>PPR!B68</f>
        <v>PP-R</v>
      </c>
      <c r="D134">
        <f>PPR!F68</f>
        <v>331406</v>
      </c>
      <c r="E134" t="str">
        <f>PPR!G68</f>
        <v>PPR FT COPLA 50 I</v>
      </c>
      <c r="F134">
        <f>PPR!H68</f>
        <v>10</v>
      </c>
      <c r="G134" t="str">
        <f>PPR!I68</f>
        <v>Bolsa</v>
      </c>
      <c r="H134">
        <f>IFERROR(IF(PPR!J68="",0,PPR!J68),0)</f>
        <v>0</v>
      </c>
      <c r="I134" s="58" t="str">
        <f>IF(H134&gt;0, MAX(I$1:I133)+1, "")</f>
        <v/>
      </c>
    </row>
    <row r="135" spans="1:9" x14ac:dyDescent="0.2">
      <c r="A135" t="s">
        <v>1441</v>
      </c>
      <c r="B135" t="str">
        <f>PPR!A69</f>
        <v>Conducción Fluidos</v>
      </c>
      <c r="C135" t="str">
        <f>PPR!B69</f>
        <v>PP-R</v>
      </c>
      <c r="D135">
        <f>PPR!F69</f>
        <v>331407</v>
      </c>
      <c r="E135" t="str">
        <f>PPR!G69</f>
        <v>PPR FT COPLA 63 I</v>
      </c>
      <c r="F135">
        <f>PPR!H69</f>
        <v>12</v>
      </c>
      <c r="G135" t="str">
        <f>PPR!I69</f>
        <v>Bolsa</v>
      </c>
      <c r="H135">
        <f>IFERROR(IF(PPR!J69="",0,PPR!J69),0)</f>
        <v>0</v>
      </c>
      <c r="I135" s="58" t="str">
        <f>IF(H135&gt;0, MAX(I$1:I134)+1, "")</f>
        <v/>
      </c>
    </row>
    <row r="136" spans="1:9" x14ac:dyDescent="0.2">
      <c r="A136" t="s">
        <v>1441</v>
      </c>
      <c r="B136" t="str">
        <f>PPR!A70</f>
        <v>Conducción Fluidos</v>
      </c>
      <c r="C136" t="str">
        <f>PPR!B70</f>
        <v>PP-R</v>
      </c>
      <c r="D136">
        <f>PPR!F70</f>
        <v>331408</v>
      </c>
      <c r="E136" t="str">
        <f>PPR!G70</f>
        <v>PPR FT COPLA 75 I</v>
      </c>
      <c r="F136">
        <f>PPR!H70</f>
        <v>5</v>
      </c>
      <c r="G136" t="str">
        <f>PPR!I70</f>
        <v>Bolsa</v>
      </c>
      <c r="H136">
        <f>IFERROR(IF(PPR!J70="",0,PPR!J70),0)</f>
        <v>0</v>
      </c>
      <c r="I136" s="58" t="str">
        <f>IF(H136&gt;0, MAX(I$1:I135)+1, "")</f>
        <v/>
      </c>
    </row>
    <row r="137" spans="1:9" x14ac:dyDescent="0.2">
      <c r="A137" t="s">
        <v>1441</v>
      </c>
      <c r="B137" t="str">
        <f>PPR!A71</f>
        <v>Conducción Fluidos</v>
      </c>
      <c r="C137" t="str">
        <f>PPR!B71</f>
        <v>PP-R</v>
      </c>
      <c r="D137">
        <f>PPR!F71</f>
        <v>331409</v>
      </c>
      <c r="E137" t="str">
        <f>PPR!G71</f>
        <v>PPR FT COPLA 90 I</v>
      </c>
      <c r="F137">
        <f>PPR!H71</f>
        <v>4</v>
      </c>
      <c r="G137" t="str">
        <f>PPR!I71</f>
        <v>Bolsa</v>
      </c>
      <c r="H137">
        <f>IFERROR(IF(PPR!J71="",0,PPR!J71),0)</f>
        <v>0</v>
      </c>
      <c r="I137" s="58" t="str">
        <f>IF(H137&gt;0, MAX(I$1:I136)+1, "")</f>
        <v/>
      </c>
    </row>
    <row r="138" spans="1:9" x14ac:dyDescent="0.2">
      <c r="A138" t="s">
        <v>1441</v>
      </c>
      <c r="B138" t="str">
        <f>PPR!A72</f>
        <v>Conducción Fluidos</v>
      </c>
      <c r="C138" t="str">
        <f>PPR!B72</f>
        <v>PP-R</v>
      </c>
      <c r="D138">
        <f>PPR!F72</f>
        <v>331410</v>
      </c>
      <c r="E138" t="str">
        <f>PPR!G72</f>
        <v>PPR FT COPLA 110 I</v>
      </c>
      <c r="F138">
        <f>PPR!H72</f>
        <v>3</v>
      </c>
      <c r="G138" t="str">
        <f>PPR!I72</f>
        <v>Bolsa</v>
      </c>
      <c r="H138">
        <f>IFERROR(IF(PPR!J72="",0,PPR!J72),0)</f>
        <v>0</v>
      </c>
      <c r="I138" s="58" t="str">
        <f>IF(H138&gt;0, MAX(I$1:I137)+1, "")</f>
        <v/>
      </c>
    </row>
    <row r="139" spans="1:9" x14ac:dyDescent="0.2">
      <c r="A139" t="s">
        <v>1441</v>
      </c>
      <c r="B139" t="str">
        <f>PPR!A73</f>
        <v>Conducción Fluidos</v>
      </c>
      <c r="C139" t="str">
        <f>PPR!B73</f>
        <v>PP-R</v>
      </c>
      <c r="D139">
        <f>PPR!F73</f>
        <v>338001</v>
      </c>
      <c r="E139" t="str">
        <f>PPR!G73</f>
        <v>PPR FT COPLA RED 25 x 20 I</v>
      </c>
      <c r="F139">
        <f>PPR!H73</f>
        <v>20</v>
      </c>
      <c r="G139" t="str">
        <f>PPR!I73</f>
        <v>Bolsa</v>
      </c>
      <c r="H139">
        <f>IFERROR(IF(PPR!J73="",0,PPR!J73),0)</f>
        <v>0</v>
      </c>
      <c r="I139" s="58" t="str">
        <f>IF(H139&gt;0, MAX(I$1:I138)+1, "")</f>
        <v/>
      </c>
    </row>
    <row r="140" spans="1:9" x14ac:dyDescent="0.2">
      <c r="A140" t="s">
        <v>1441</v>
      </c>
      <c r="B140" t="str">
        <f>PPR!A74</f>
        <v>Conducción Fluidos</v>
      </c>
      <c r="C140" t="str">
        <f>PPR!B74</f>
        <v>PP-R</v>
      </c>
      <c r="D140">
        <f>PPR!F74</f>
        <v>338002</v>
      </c>
      <c r="E140" t="str">
        <f>PPR!G74</f>
        <v>PPR FT COPLA RED 32 x 20 I</v>
      </c>
      <c r="F140">
        <f>PPR!H74</f>
        <v>20</v>
      </c>
      <c r="G140" t="str">
        <f>PPR!I74</f>
        <v>Bolsa</v>
      </c>
      <c r="H140">
        <f>IFERROR(IF(PPR!J74="",0,PPR!J74),0)</f>
        <v>0</v>
      </c>
      <c r="I140" s="58" t="str">
        <f>IF(H140&gt;0, MAX(I$1:I139)+1, "")</f>
        <v/>
      </c>
    </row>
    <row r="141" spans="1:9" x14ac:dyDescent="0.2">
      <c r="A141" t="s">
        <v>1441</v>
      </c>
      <c r="B141" t="str">
        <f>PPR!A75</f>
        <v>Conducción Fluidos</v>
      </c>
      <c r="C141" t="str">
        <f>PPR!B75</f>
        <v>PP-R</v>
      </c>
      <c r="D141">
        <f>PPR!F75</f>
        <v>338003</v>
      </c>
      <c r="E141" t="str">
        <f>PPR!G75</f>
        <v>PPR FT COPLA RED 32 x 25 I</v>
      </c>
      <c r="F141">
        <f>PPR!H75</f>
        <v>20</v>
      </c>
      <c r="G141" t="str">
        <f>PPR!I75</f>
        <v>Bolsa</v>
      </c>
      <c r="H141">
        <f>IFERROR(IF(PPR!J75="",0,PPR!J75),0)</f>
        <v>0</v>
      </c>
      <c r="I141" s="58" t="str">
        <f>IF(H141&gt;0, MAX(I$1:I140)+1, "")</f>
        <v/>
      </c>
    </row>
    <row r="142" spans="1:9" x14ac:dyDescent="0.2">
      <c r="A142" t="s">
        <v>1441</v>
      </c>
      <c r="B142" t="str">
        <f>PPR!A76</f>
        <v>Conducción Fluidos</v>
      </c>
      <c r="C142" t="str">
        <f>PPR!B76</f>
        <v>PP-R</v>
      </c>
      <c r="D142">
        <f>PPR!F76</f>
        <v>338004</v>
      </c>
      <c r="E142" t="str">
        <f>PPR!G76</f>
        <v>PPR FT COPLA RED 40 x 20 I</v>
      </c>
      <c r="F142">
        <f>PPR!H76</f>
        <v>10</v>
      </c>
      <c r="G142" t="str">
        <f>PPR!I76</f>
        <v>Bolsa</v>
      </c>
      <c r="H142">
        <f>IFERROR(IF(PPR!J76="",0,PPR!J76),0)</f>
        <v>0</v>
      </c>
      <c r="I142" s="58" t="str">
        <f>IF(H142&gt;0, MAX(I$1:I141)+1, "")</f>
        <v/>
      </c>
    </row>
    <row r="143" spans="1:9" x14ac:dyDescent="0.2">
      <c r="A143" t="s">
        <v>1441</v>
      </c>
      <c r="B143" t="str">
        <f>PPR!A77</f>
        <v>Conducción Fluidos</v>
      </c>
      <c r="C143" t="str">
        <f>PPR!B77</f>
        <v>PP-R</v>
      </c>
      <c r="D143">
        <f>PPR!F77</f>
        <v>338005</v>
      </c>
      <c r="E143" t="str">
        <f>PPR!G77</f>
        <v>PPR FT COPLA RED 40 x 25 I</v>
      </c>
      <c r="F143">
        <f>PPR!H77</f>
        <v>10</v>
      </c>
      <c r="G143" t="str">
        <f>PPR!I77</f>
        <v>Bolsa</v>
      </c>
      <c r="H143">
        <f>IFERROR(IF(PPR!J77="",0,PPR!J77),0)</f>
        <v>0</v>
      </c>
      <c r="I143" s="58" t="str">
        <f>IF(H143&gt;0, MAX(I$1:I142)+1, "")</f>
        <v/>
      </c>
    </row>
    <row r="144" spans="1:9" x14ac:dyDescent="0.2">
      <c r="A144" t="s">
        <v>1441</v>
      </c>
      <c r="B144" t="str">
        <f>PPR!A78</f>
        <v>Conducción Fluidos</v>
      </c>
      <c r="C144" t="str">
        <f>PPR!B78</f>
        <v>PP-R</v>
      </c>
      <c r="D144">
        <f>PPR!F78</f>
        <v>338006</v>
      </c>
      <c r="E144" t="str">
        <f>PPR!G78</f>
        <v>PPR FT COPLA RED 40 x 32 I</v>
      </c>
      <c r="F144">
        <f>PPR!H78</f>
        <v>10</v>
      </c>
      <c r="G144" t="str">
        <f>PPR!I78</f>
        <v>Bolsa</v>
      </c>
      <c r="H144">
        <f>IFERROR(IF(PPR!J78="",0,PPR!J78),0)</f>
        <v>0</v>
      </c>
      <c r="I144" s="58" t="str">
        <f>IF(H144&gt;0, MAX(I$1:I143)+1, "")</f>
        <v/>
      </c>
    </row>
    <row r="145" spans="1:9" x14ac:dyDescent="0.2">
      <c r="A145" t="s">
        <v>1441</v>
      </c>
      <c r="B145" t="str">
        <f>PPR!A79</f>
        <v>Conducción Fluidos</v>
      </c>
      <c r="C145" t="str">
        <f>PPR!B79</f>
        <v>PP-R</v>
      </c>
      <c r="D145">
        <f>PPR!F79</f>
        <v>338007</v>
      </c>
      <c r="E145" t="str">
        <f>PPR!G79</f>
        <v>PPR FT COPLA RED 50 x 20 I</v>
      </c>
      <c r="F145">
        <f>PPR!H79</f>
        <v>12</v>
      </c>
      <c r="G145" t="str">
        <f>PPR!I79</f>
        <v>Bolsa</v>
      </c>
      <c r="H145">
        <f>IFERROR(IF(PPR!J79="",0,PPR!J79),0)</f>
        <v>0</v>
      </c>
      <c r="I145" s="58" t="str">
        <f>IF(H145&gt;0, MAX(I$1:I144)+1, "")</f>
        <v/>
      </c>
    </row>
    <row r="146" spans="1:9" x14ac:dyDescent="0.2">
      <c r="A146" t="s">
        <v>1441</v>
      </c>
      <c r="B146" t="str">
        <f>PPR!A80</f>
        <v>Conducción Fluidos</v>
      </c>
      <c r="C146" t="str">
        <f>PPR!B80</f>
        <v>PP-R</v>
      </c>
      <c r="D146">
        <f>PPR!F80</f>
        <v>338008</v>
      </c>
      <c r="E146" t="str">
        <f>PPR!G80</f>
        <v>PPR FT COPLA RED 50 x 25 I</v>
      </c>
      <c r="F146">
        <f>PPR!H80</f>
        <v>12</v>
      </c>
      <c r="G146" t="str">
        <f>PPR!I80</f>
        <v>Bolsa</v>
      </c>
      <c r="H146">
        <f>IFERROR(IF(PPR!J80="",0,PPR!J80),0)</f>
        <v>0</v>
      </c>
      <c r="I146" s="58" t="str">
        <f>IF(H146&gt;0, MAX(I$1:I145)+1, "")</f>
        <v/>
      </c>
    </row>
    <row r="147" spans="1:9" x14ac:dyDescent="0.2">
      <c r="A147" t="s">
        <v>1441</v>
      </c>
      <c r="B147" t="str">
        <f>PPR!A81</f>
        <v>Conducción Fluidos</v>
      </c>
      <c r="C147" t="str">
        <f>PPR!B81</f>
        <v>PP-R</v>
      </c>
      <c r="D147">
        <f>PPR!F81</f>
        <v>338009</v>
      </c>
      <c r="E147" t="str">
        <f>PPR!G81</f>
        <v>PPR FT COPLA RED 50 x 32 I</v>
      </c>
      <c r="F147">
        <f>PPR!H81</f>
        <v>12</v>
      </c>
      <c r="G147" t="str">
        <f>PPR!I81</f>
        <v>Bolsa</v>
      </c>
      <c r="H147">
        <f>IFERROR(IF(PPR!J81="",0,PPR!J81),0)</f>
        <v>0</v>
      </c>
      <c r="I147" s="58" t="str">
        <f>IF(H147&gt;0, MAX(I$1:I146)+1, "")</f>
        <v/>
      </c>
    </row>
    <row r="148" spans="1:9" x14ac:dyDescent="0.2">
      <c r="A148" t="s">
        <v>1441</v>
      </c>
      <c r="B148" t="str">
        <f>PPR!A82</f>
        <v>Conducción Fluidos</v>
      </c>
      <c r="C148" t="str">
        <f>PPR!B82</f>
        <v>PP-R</v>
      </c>
      <c r="D148">
        <f>PPR!F82</f>
        <v>338010</v>
      </c>
      <c r="E148" t="str">
        <f>PPR!G82</f>
        <v>PPR FT COPLA RED 50 x 40 I</v>
      </c>
      <c r="F148">
        <f>PPR!H82</f>
        <v>12</v>
      </c>
      <c r="G148" t="str">
        <f>PPR!I82</f>
        <v>Bolsa</v>
      </c>
      <c r="H148">
        <f>IFERROR(IF(PPR!J82="",0,PPR!J82),0)</f>
        <v>0</v>
      </c>
      <c r="I148" s="58" t="str">
        <f>IF(H148&gt;0, MAX(I$1:I147)+1, "")</f>
        <v/>
      </c>
    </row>
    <row r="149" spans="1:9" x14ac:dyDescent="0.2">
      <c r="A149" t="s">
        <v>1441</v>
      </c>
      <c r="B149" t="str">
        <f>PPR!A83</f>
        <v>Conducción Fluidos</v>
      </c>
      <c r="C149" t="str">
        <f>PPR!B83</f>
        <v>PP-R</v>
      </c>
      <c r="D149">
        <f>PPR!F83</f>
        <v>338011</v>
      </c>
      <c r="E149" t="str">
        <f>PPR!G83</f>
        <v>PPR FT COPLA RED 63 x 20 I</v>
      </c>
      <c r="F149">
        <f>PPR!H83</f>
        <v>12</v>
      </c>
      <c r="G149" t="str">
        <f>PPR!I83</f>
        <v>Bolsa</v>
      </c>
      <c r="H149">
        <f>IFERROR(IF(PPR!J83="",0,PPR!J83),0)</f>
        <v>0</v>
      </c>
      <c r="I149" s="58" t="str">
        <f>IF(H149&gt;0, MAX(I$1:I148)+1, "")</f>
        <v/>
      </c>
    </row>
    <row r="150" spans="1:9" x14ac:dyDescent="0.2">
      <c r="A150" t="s">
        <v>1441</v>
      </c>
      <c r="B150" t="str">
        <f>PPR!A84</f>
        <v>Conducción Fluidos</v>
      </c>
      <c r="C150" t="str">
        <f>PPR!B84</f>
        <v>PP-R</v>
      </c>
      <c r="D150">
        <f>PPR!F84</f>
        <v>338012</v>
      </c>
      <c r="E150" t="str">
        <f>PPR!G84</f>
        <v>PPR FT COPLA RED 63 x 25 I</v>
      </c>
      <c r="F150">
        <f>PPR!H84</f>
        <v>12</v>
      </c>
      <c r="G150" t="str">
        <f>PPR!I84</f>
        <v>Bolsa</v>
      </c>
      <c r="H150">
        <f>IFERROR(IF(PPR!J84="",0,PPR!J84),0)</f>
        <v>0</v>
      </c>
      <c r="I150" s="58" t="str">
        <f>IF(H150&gt;0, MAX(I$1:I149)+1, "")</f>
        <v/>
      </c>
    </row>
    <row r="151" spans="1:9" x14ac:dyDescent="0.2">
      <c r="A151" t="s">
        <v>1441</v>
      </c>
      <c r="B151" t="str">
        <f>PPR!A85</f>
        <v>Conducción Fluidos</v>
      </c>
      <c r="C151" t="str">
        <f>PPR!B85</f>
        <v>PP-R</v>
      </c>
      <c r="D151">
        <f>PPR!F85</f>
        <v>338013</v>
      </c>
      <c r="E151" t="str">
        <f>PPR!G85</f>
        <v>PPR FT COPLA RED 63 x 32 I</v>
      </c>
      <c r="F151">
        <f>PPR!H85</f>
        <v>12</v>
      </c>
      <c r="G151" t="str">
        <f>PPR!I85</f>
        <v>Bolsa</v>
      </c>
      <c r="H151">
        <f>IFERROR(IF(PPR!J85="",0,PPR!J85),0)</f>
        <v>0</v>
      </c>
      <c r="I151" s="58" t="str">
        <f>IF(H151&gt;0, MAX(I$1:I150)+1, "")</f>
        <v/>
      </c>
    </row>
    <row r="152" spans="1:9" x14ac:dyDescent="0.2">
      <c r="A152" t="s">
        <v>1441</v>
      </c>
      <c r="B152" t="str">
        <f>PPR!A86</f>
        <v>Conducción Fluidos</v>
      </c>
      <c r="C152" t="str">
        <f>PPR!B86</f>
        <v>PP-R</v>
      </c>
      <c r="D152">
        <f>PPR!F86</f>
        <v>338014</v>
      </c>
      <c r="E152" t="str">
        <f>PPR!G86</f>
        <v>PPR FT COPLA RED 63 x 40 I</v>
      </c>
      <c r="F152">
        <f>PPR!H86</f>
        <v>12</v>
      </c>
      <c r="G152" t="str">
        <f>PPR!I86</f>
        <v>Bolsa</v>
      </c>
      <c r="H152">
        <f>IFERROR(IF(PPR!J86="",0,PPR!J86),0)</f>
        <v>0</v>
      </c>
      <c r="I152" s="58" t="str">
        <f>IF(H152&gt;0, MAX(I$1:I151)+1, "")</f>
        <v/>
      </c>
    </row>
    <row r="153" spans="1:9" x14ac:dyDescent="0.2">
      <c r="A153" t="s">
        <v>1441</v>
      </c>
      <c r="B153" t="str">
        <f>PPR!A87</f>
        <v>Conducción Fluidos</v>
      </c>
      <c r="C153" t="str">
        <f>PPR!B87</f>
        <v>PP-R</v>
      </c>
      <c r="D153">
        <f>PPR!F87</f>
        <v>338015</v>
      </c>
      <c r="E153" t="str">
        <f>PPR!G87</f>
        <v>PPR FT COPLA RED 63 x 50 I</v>
      </c>
      <c r="F153">
        <f>PPR!H87</f>
        <v>12</v>
      </c>
      <c r="G153" t="str">
        <f>PPR!I87</f>
        <v>Bolsa</v>
      </c>
      <c r="H153">
        <f>IFERROR(IF(PPR!J87="",0,PPR!J87),0)</f>
        <v>0</v>
      </c>
      <c r="I153" s="58" t="str">
        <f>IF(H153&gt;0, MAX(I$1:I152)+1, "")</f>
        <v/>
      </c>
    </row>
    <row r="154" spans="1:9" x14ac:dyDescent="0.2">
      <c r="A154" t="s">
        <v>1441</v>
      </c>
      <c r="B154" t="str">
        <f>PPR!A88</f>
        <v>Conducción Fluidos</v>
      </c>
      <c r="C154" t="str">
        <f>PPR!B88</f>
        <v>PP-R</v>
      </c>
      <c r="D154">
        <f>PPR!F88</f>
        <v>338016</v>
      </c>
      <c r="E154" t="str">
        <f>PPR!G88</f>
        <v>PPR FT COPLA RED 75 x 32 I</v>
      </c>
      <c r="F154">
        <f>PPR!H88</f>
        <v>5</v>
      </c>
      <c r="G154" t="str">
        <f>PPR!I88</f>
        <v>Unitario</v>
      </c>
      <c r="H154">
        <f>IFERROR(IF(PPR!J88="",0,PPR!J88),0)</f>
        <v>0</v>
      </c>
      <c r="I154" s="58" t="str">
        <f>IF(H154&gt;0, MAX(I$1:I153)+1, "")</f>
        <v/>
      </c>
    </row>
    <row r="155" spans="1:9" x14ac:dyDescent="0.2">
      <c r="A155" t="s">
        <v>1441</v>
      </c>
      <c r="B155" t="str">
        <f>PPR!A89</f>
        <v>Conducción Fluidos</v>
      </c>
      <c r="C155" t="str">
        <f>PPR!B89</f>
        <v>PP-R</v>
      </c>
      <c r="D155">
        <f>PPR!F89</f>
        <v>338017</v>
      </c>
      <c r="E155" t="str">
        <f>PPR!G89</f>
        <v>PPR FT COPLA RED 75 x 40 I</v>
      </c>
      <c r="F155">
        <f>PPR!H89</f>
        <v>5</v>
      </c>
      <c r="G155" t="str">
        <f>PPR!I89</f>
        <v>Bolsa</v>
      </c>
      <c r="H155">
        <f>IFERROR(IF(PPR!J89="",0,PPR!J89),0)</f>
        <v>0</v>
      </c>
      <c r="I155" s="58" t="str">
        <f>IF(H155&gt;0, MAX(I$1:I154)+1, "")</f>
        <v/>
      </c>
    </row>
    <row r="156" spans="1:9" x14ac:dyDescent="0.2">
      <c r="A156" t="s">
        <v>1441</v>
      </c>
      <c r="B156" t="str">
        <f>PPR!A90</f>
        <v>Conducción Fluidos</v>
      </c>
      <c r="C156" t="str">
        <f>PPR!B90</f>
        <v>PP-R</v>
      </c>
      <c r="D156">
        <f>PPR!F90</f>
        <v>338018</v>
      </c>
      <c r="E156" t="str">
        <f>PPR!G90</f>
        <v>PPR FT COPLA RED 75 x 50 I</v>
      </c>
      <c r="F156">
        <f>PPR!H90</f>
        <v>5</v>
      </c>
      <c r="G156" t="str">
        <f>PPR!I90</f>
        <v>Bolsa</v>
      </c>
      <c r="H156">
        <f>IFERROR(IF(PPR!J90="",0,PPR!J90),0)</f>
        <v>0</v>
      </c>
      <c r="I156" s="58" t="str">
        <f>IF(H156&gt;0, MAX(I$1:I155)+1, "")</f>
        <v/>
      </c>
    </row>
    <row r="157" spans="1:9" x14ac:dyDescent="0.2">
      <c r="A157" t="s">
        <v>1441</v>
      </c>
      <c r="B157" t="str">
        <f>PPR!A91</f>
        <v>Conducción Fluidos</v>
      </c>
      <c r="C157" t="str">
        <f>PPR!B91</f>
        <v>PP-R</v>
      </c>
      <c r="D157">
        <f>PPR!F91</f>
        <v>338019</v>
      </c>
      <c r="E157" t="str">
        <f>PPR!G91</f>
        <v>PPR FT COPLA RED 75 x 63 I</v>
      </c>
      <c r="F157">
        <f>PPR!H91</f>
        <v>5</v>
      </c>
      <c r="G157" t="str">
        <f>PPR!I91</f>
        <v>Bolsa</v>
      </c>
      <c r="H157">
        <f>IFERROR(IF(PPR!J91="",0,PPR!J91),0)</f>
        <v>0</v>
      </c>
      <c r="I157" s="58" t="str">
        <f>IF(H157&gt;0, MAX(I$1:I156)+1, "")</f>
        <v/>
      </c>
    </row>
    <row r="158" spans="1:9" x14ac:dyDescent="0.2">
      <c r="A158" t="s">
        <v>1441</v>
      </c>
      <c r="B158" t="str">
        <f>PPR!A92</f>
        <v>Conducción Fluidos</v>
      </c>
      <c r="C158" t="str">
        <f>PPR!B92</f>
        <v>PP-R</v>
      </c>
      <c r="D158">
        <f>PPR!F92</f>
        <v>338020</v>
      </c>
      <c r="E158" t="str">
        <f>PPR!G92</f>
        <v>PPR FT COPLA RED 90 x 40 I</v>
      </c>
      <c r="F158">
        <f>PPR!H92</f>
        <v>1</v>
      </c>
      <c r="G158" t="str">
        <f>PPR!I92</f>
        <v>Bolsa</v>
      </c>
      <c r="H158">
        <f>IFERROR(IF(PPR!J92="",0,PPR!J92),0)</f>
        <v>0</v>
      </c>
      <c r="I158" s="58" t="str">
        <f>IF(H158&gt;0, MAX(I$1:I157)+1, "")</f>
        <v/>
      </c>
    </row>
    <row r="159" spans="1:9" x14ac:dyDescent="0.2">
      <c r="A159" t="s">
        <v>1441</v>
      </c>
      <c r="B159" t="str">
        <f>PPR!A93</f>
        <v>Conducción Fluidos</v>
      </c>
      <c r="C159" t="str">
        <f>PPR!B93</f>
        <v>PP-R</v>
      </c>
      <c r="D159">
        <f>PPR!F93</f>
        <v>338021</v>
      </c>
      <c r="E159" t="str">
        <f>PPR!G93</f>
        <v>PPR FT COPLA RED 90 x 50 I</v>
      </c>
      <c r="F159">
        <f>PPR!H93</f>
        <v>1</v>
      </c>
      <c r="G159" t="str">
        <f>PPR!I93</f>
        <v>Bolsa</v>
      </c>
      <c r="H159">
        <f>IFERROR(IF(PPR!J93="",0,PPR!J93),0)</f>
        <v>0</v>
      </c>
      <c r="I159" s="58" t="str">
        <f>IF(H159&gt;0, MAX(I$1:I158)+1, "")</f>
        <v/>
      </c>
    </row>
    <row r="160" spans="1:9" x14ac:dyDescent="0.2">
      <c r="A160" t="s">
        <v>1441</v>
      </c>
      <c r="B160" t="str">
        <f>PPR!A94</f>
        <v>Conducción Fluidos</v>
      </c>
      <c r="C160" t="str">
        <f>PPR!B94</f>
        <v>PP-R</v>
      </c>
      <c r="D160">
        <f>PPR!F94</f>
        <v>338022</v>
      </c>
      <c r="E160" t="str">
        <f>PPR!G94</f>
        <v>PPR FT COPLA RED 90 x 63 I</v>
      </c>
      <c r="F160">
        <f>PPR!H94</f>
        <v>1</v>
      </c>
      <c r="G160" t="str">
        <f>PPR!I94</f>
        <v>Bolsa</v>
      </c>
      <c r="H160">
        <f>IFERROR(IF(PPR!J94="",0,PPR!J94),0)</f>
        <v>0</v>
      </c>
      <c r="I160" s="58" t="str">
        <f>IF(H160&gt;0, MAX(I$1:I159)+1, "")</f>
        <v/>
      </c>
    </row>
    <row r="161" spans="1:9" x14ac:dyDescent="0.2">
      <c r="A161" t="s">
        <v>1441</v>
      </c>
      <c r="B161" t="str">
        <f>PPR!A95</f>
        <v>Conducción Fluidos</v>
      </c>
      <c r="C161" t="str">
        <f>PPR!B95</f>
        <v>PP-R</v>
      </c>
      <c r="D161">
        <f>PPR!F95</f>
        <v>338023</v>
      </c>
      <c r="E161" t="str">
        <f>PPR!G95</f>
        <v>PPR FT COPLA RED 90 x 75 I</v>
      </c>
      <c r="F161">
        <f>PPR!H95</f>
        <v>1</v>
      </c>
      <c r="G161" t="str">
        <f>PPR!I95</f>
        <v>Bolsa</v>
      </c>
      <c r="H161">
        <f>IFERROR(IF(PPR!J95="",0,PPR!J95),0)</f>
        <v>0</v>
      </c>
      <c r="I161" s="58" t="str">
        <f>IF(H161&gt;0, MAX(I$1:I160)+1, "")</f>
        <v/>
      </c>
    </row>
    <row r="162" spans="1:9" x14ac:dyDescent="0.2">
      <c r="A162" t="s">
        <v>1441</v>
      </c>
      <c r="B162" t="str">
        <f>PPR!A96</f>
        <v>Conducción Fluidos</v>
      </c>
      <c r="C162" t="str">
        <f>PPR!B96</f>
        <v>PP-R</v>
      </c>
      <c r="D162">
        <f>PPR!F96</f>
        <v>338024</v>
      </c>
      <c r="E162" t="str">
        <f>PPR!G96</f>
        <v>PPR FT COPLA RED 110 x 40 I</v>
      </c>
      <c r="F162">
        <f>PPR!H96</f>
        <v>1</v>
      </c>
      <c r="G162" t="str">
        <f>PPR!I96</f>
        <v>Bolsa</v>
      </c>
      <c r="H162">
        <f>IFERROR(IF(PPR!J96="",0,PPR!J96),0)</f>
        <v>0</v>
      </c>
      <c r="I162" s="58" t="str">
        <f>IF(H162&gt;0, MAX(I$1:I161)+1, "")</f>
        <v/>
      </c>
    </row>
    <row r="163" spans="1:9" x14ac:dyDescent="0.2">
      <c r="A163" t="s">
        <v>1441</v>
      </c>
      <c r="B163" t="str">
        <f>PPR!A97</f>
        <v>Conducción Fluidos</v>
      </c>
      <c r="C163" t="str">
        <f>PPR!B97</f>
        <v>PP-R</v>
      </c>
      <c r="D163">
        <f>PPR!F97</f>
        <v>338025</v>
      </c>
      <c r="E163" t="str">
        <f>PPR!G97</f>
        <v>PPR FT COPLA RED 110 x 50 I</v>
      </c>
      <c r="F163">
        <f>PPR!H97</f>
        <v>1</v>
      </c>
      <c r="G163" t="str">
        <f>PPR!I97</f>
        <v>Bolsa</v>
      </c>
      <c r="H163">
        <f>IFERROR(IF(PPR!J97="",0,PPR!J97),0)</f>
        <v>0</v>
      </c>
      <c r="I163" s="58" t="str">
        <f>IF(H163&gt;0, MAX(I$1:I162)+1, "")</f>
        <v/>
      </c>
    </row>
    <row r="164" spans="1:9" x14ac:dyDescent="0.2">
      <c r="A164" t="s">
        <v>1441</v>
      </c>
      <c r="B164" t="str">
        <f>PPR!A98</f>
        <v>Conducción Fluidos</v>
      </c>
      <c r="C164" t="str">
        <f>PPR!B98</f>
        <v>PP-R</v>
      </c>
      <c r="D164">
        <f>PPR!F98</f>
        <v>338026</v>
      </c>
      <c r="E164" t="str">
        <f>PPR!G98</f>
        <v>PPR FT COPLA RED 110 x 63 I</v>
      </c>
      <c r="F164">
        <f>PPR!H98</f>
        <v>1</v>
      </c>
      <c r="G164" t="str">
        <f>PPR!I98</f>
        <v>Bolsa</v>
      </c>
      <c r="H164">
        <f>IFERROR(IF(PPR!J98="",0,PPR!J98),0)</f>
        <v>0</v>
      </c>
      <c r="I164" s="58" t="str">
        <f>IF(H164&gt;0, MAX(I$1:I163)+1, "")</f>
        <v/>
      </c>
    </row>
    <row r="165" spans="1:9" x14ac:dyDescent="0.2">
      <c r="A165" t="s">
        <v>1441</v>
      </c>
      <c r="B165" t="str">
        <f>PPR!A99</f>
        <v>Conducción Fluidos</v>
      </c>
      <c r="C165" t="str">
        <f>PPR!B99</f>
        <v>PP-R</v>
      </c>
      <c r="D165">
        <f>PPR!F99</f>
        <v>338027</v>
      </c>
      <c r="E165" t="str">
        <f>PPR!G99</f>
        <v>PPR FT COPLA RED 110 x 75 I</v>
      </c>
      <c r="F165">
        <f>PPR!H99</f>
        <v>1</v>
      </c>
      <c r="G165" t="str">
        <f>PPR!I99</f>
        <v>Bolsa</v>
      </c>
      <c r="H165">
        <f>IFERROR(IF(PPR!J99="",0,PPR!J99),0)</f>
        <v>0</v>
      </c>
      <c r="I165" s="58" t="str">
        <f>IF(H165&gt;0, MAX(I$1:I164)+1, "")</f>
        <v/>
      </c>
    </row>
    <row r="166" spans="1:9" x14ac:dyDescent="0.2">
      <c r="A166" t="s">
        <v>1441</v>
      </c>
      <c r="B166" t="str">
        <f>PPR!A100</f>
        <v>Conducción Fluidos</v>
      </c>
      <c r="C166" t="str">
        <f>PPR!B100</f>
        <v>PP-R</v>
      </c>
      <c r="D166">
        <f>PPR!F100</f>
        <v>338028</v>
      </c>
      <c r="E166" t="str">
        <f>PPR!G100</f>
        <v>PPR FT COPLA RED 110 x 90 I</v>
      </c>
      <c r="F166">
        <f>PPR!H100</f>
        <v>1</v>
      </c>
      <c r="G166" t="str">
        <f>PPR!I100</f>
        <v>Bolsa</v>
      </c>
      <c r="H166">
        <f>IFERROR(IF(PPR!J100="",0,PPR!J100),0)</f>
        <v>0</v>
      </c>
      <c r="I166" s="58" t="str">
        <f>IF(H166&gt;0, MAX(I$1:I165)+1, "")</f>
        <v/>
      </c>
    </row>
    <row r="167" spans="1:9" x14ac:dyDescent="0.2">
      <c r="A167" t="s">
        <v>1441</v>
      </c>
      <c r="B167" t="str">
        <f>PPR!A101</f>
        <v>Conducción Fluidos</v>
      </c>
      <c r="C167" t="str">
        <f>PPR!B101</f>
        <v>PP-R</v>
      </c>
      <c r="D167">
        <f>PPR!F101</f>
        <v>331302</v>
      </c>
      <c r="E167" t="str">
        <f>PPR!G101</f>
        <v>PPR FT TEE 20 x 20 I</v>
      </c>
      <c r="F167">
        <f>PPR!H101</f>
        <v>50</v>
      </c>
      <c r="G167" t="str">
        <f>PPR!I101</f>
        <v>Bolsa</v>
      </c>
      <c r="H167">
        <f>IFERROR(IF(PPR!J101="",0,PPR!J101),0)</f>
        <v>0</v>
      </c>
      <c r="I167" s="58" t="str">
        <f>IF(H167&gt;0, MAX(I$1:I166)+1, "")</f>
        <v/>
      </c>
    </row>
    <row r="168" spans="1:9" x14ac:dyDescent="0.2">
      <c r="A168" t="s">
        <v>1441</v>
      </c>
      <c r="B168" t="str">
        <f>PPR!A102</f>
        <v>Conducción Fluidos</v>
      </c>
      <c r="C168" t="str">
        <f>PPR!B102</f>
        <v>PP-R</v>
      </c>
      <c r="D168">
        <f>PPR!F102</f>
        <v>331303</v>
      </c>
      <c r="E168" t="str">
        <f>PPR!G102</f>
        <v>PPR FT TEE 25 x 25 I</v>
      </c>
      <c r="F168">
        <f>PPR!H102</f>
        <v>20</v>
      </c>
      <c r="G168" t="str">
        <f>PPR!I102</f>
        <v>Bolsa</v>
      </c>
      <c r="H168">
        <f>IFERROR(IF(PPR!J102="",0,PPR!J102),0)</f>
        <v>0</v>
      </c>
      <c r="I168" s="58" t="str">
        <f>IF(H168&gt;0, MAX(I$1:I167)+1, "")</f>
        <v/>
      </c>
    </row>
    <row r="169" spans="1:9" x14ac:dyDescent="0.2">
      <c r="A169" t="s">
        <v>1441</v>
      </c>
      <c r="B169" t="str">
        <f>PPR!A103</f>
        <v>Conducción Fluidos</v>
      </c>
      <c r="C169" t="str">
        <f>PPR!B103</f>
        <v>PP-R</v>
      </c>
      <c r="D169">
        <f>PPR!F103</f>
        <v>331304</v>
      </c>
      <c r="E169" t="str">
        <f>PPR!G103</f>
        <v>PPR FT TEE 32 x 32 I</v>
      </c>
      <c r="F169">
        <f>PPR!H103</f>
        <v>10</v>
      </c>
      <c r="G169" t="str">
        <f>PPR!I103</f>
        <v>Bolsa</v>
      </c>
      <c r="H169">
        <f>IFERROR(IF(PPR!J103="",0,PPR!J103),0)</f>
        <v>0</v>
      </c>
      <c r="I169" s="58" t="str">
        <f>IF(H169&gt;0, MAX(I$1:I168)+1, "")</f>
        <v/>
      </c>
    </row>
    <row r="170" spans="1:9" x14ac:dyDescent="0.2">
      <c r="A170" t="s">
        <v>1441</v>
      </c>
      <c r="B170" t="str">
        <f>PPR!A104</f>
        <v>Conducción Fluidos</v>
      </c>
      <c r="C170" t="str">
        <f>PPR!B104</f>
        <v>PP-R</v>
      </c>
      <c r="D170">
        <f>PPR!F104</f>
        <v>331305</v>
      </c>
      <c r="E170" t="str">
        <f>PPR!G104</f>
        <v>PPR FT TEE 40 x 40 I</v>
      </c>
      <c r="F170">
        <f>PPR!H104</f>
        <v>10</v>
      </c>
      <c r="G170" t="str">
        <f>PPR!I104</f>
        <v>Bolsa</v>
      </c>
      <c r="H170">
        <f>IFERROR(IF(PPR!J104="",0,PPR!J104),0)</f>
        <v>0</v>
      </c>
      <c r="I170" s="58" t="str">
        <f>IF(H170&gt;0, MAX(I$1:I169)+1, "")</f>
        <v/>
      </c>
    </row>
    <row r="171" spans="1:9" x14ac:dyDescent="0.2">
      <c r="A171" t="s">
        <v>1441</v>
      </c>
      <c r="B171" t="str">
        <f>PPR!A105</f>
        <v>Conducción Fluidos</v>
      </c>
      <c r="C171" t="str">
        <f>PPR!B105</f>
        <v>PP-R</v>
      </c>
      <c r="D171">
        <f>PPR!F105</f>
        <v>331306</v>
      </c>
      <c r="E171" t="str">
        <f>PPR!G105</f>
        <v>PPR FT TEE 50 x 50 I</v>
      </c>
      <c r="F171">
        <f>PPR!H105</f>
        <v>10</v>
      </c>
      <c r="G171" t="str">
        <f>PPR!I105</f>
        <v>Bolsa</v>
      </c>
      <c r="H171">
        <f>IFERROR(IF(PPR!J105="",0,PPR!J105),0)</f>
        <v>0</v>
      </c>
      <c r="I171" s="58" t="str">
        <f>IF(H171&gt;0, MAX(I$1:I170)+1, "")</f>
        <v/>
      </c>
    </row>
    <row r="172" spans="1:9" x14ac:dyDescent="0.2">
      <c r="A172" t="s">
        <v>1441</v>
      </c>
      <c r="B172" t="str">
        <f>PPR!A106</f>
        <v>Conducción Fluidos</v>
      </c>
      <c r="C172" t="str">
        <f>PPR!B106</f>
        <v>PP-R</v>
      </c>
      <c r="D172">
        <f>PPR!F106</f>
        <v>331307</v>
      </c>
      <c r="E172" t="str">
        <f>PPR!G106</f>
        <v>PPR FT TEE 63 x 63 I</v>
      </c>
      <c r="F172">
        <f>PPR!H106</f>
        <v>6</v>
      </c>
      <c r="G172" t="str">
        <f>PPR!I106</f>
        <v>Bolsa</v>
      </c>
      <c r="H172">
        <f>IFERROR(IF(PPR!J106="",0,PPR!J106),0)</f>
        <v>0</v>
      </c>
      <c r="I172" s="58" t="str">
        <f>IF(H172&gt;0, MAX(I$1:I171)+1, "")</f>
        <v/>
      </c>
    </row>
    <row r="173" spans="1:9" x14ac:dyDescent="0.2">
      <c r="A173" t="s">
        <v>1441</v>
      </c>
      <c r="B173" t="str">
        <f>PPR!A107</f>
        <v>Conducción Fluidos</v>
      </c>
      <c r="C173" t="str">
        <f>PPR!B107</f>
        <v>PP-R</v>
      </c>
      <c r="D173">
        <f>PPR!F107</f>
        <v>331308</v>
      </c>
      <c r="E173" t="str">
        <f>PPR!G107</f>
        <v>PPR FT TEE 75 x 75 I</v>
      </c>
      <c r="F173">
        <f>PPR!H107</f>
        <v>4</v>
      </c>
      <c r="G173" t="str">
        <f>PPR!I107</f>
        <v>Bolsa</v>
      </c>
      <c r="H173">
        <f>IFERROR(IF(PPR!J107="",0,PPR!J107),0)</f>
        <v>0</v>
      </c>
      <c r="I173" s="58" t="str">
        <f>IF(H173&gt;0, MAX(I$1:I172)+1, "")</f>
        <v/>
      </c>
    </row>
    <row r="174" spans="1:9" x14ac:dyDescent="0.2">
      <c r="A174" t="s">
        <v>1441</v>
      </c>
      <c r="B174" t="str">
        <f>PPR!A108</f>
        <v>Conducción Fluidos</v>
      </c>
      <c r="C174" t="str">
        <f>PPR!B108</f>
        <v>PP-R</v>
      </c>
      <c r="D174">
        <f>PPR!F108</f>
        <v>331309</v>
      </c>
      <c r="E174" t="str">
        <f>PPR!G108</f>
        <v>PPR FT TEE 90 x 90 I</v>
      </c>
      <c r="F174">
        <f>PPR!H108</f>
        <v>2</v>
      </c>
      <c r="G174" t="str">
        <f>PPR!I108</f>
        <v>Bolsa</v>
      </c>
      <c r="H174">
        <f>IFERROR(IF(PPR!J108="",0,PPR!J108),0)</f>
        <v>0</v>
      </c>
      <c r="I174" s="58" t="str">
        <f>IF(H174&gt;0, MAX(I$1:I173)+1, "")</f>
        <v/>
      </c>
    </row>
    <row r="175" spans="1:9" x14ac:dyDescent="0.2">
      <c r="A175" t="s">
        <v>1441</v>
      </c>
      <c r="B175" t="str">
        <f>PPR!A109</f>
        <v>Conducción Fluidos</v>
      </c>
      <c r="C175" t="str">
        <f>PPR!B109</f>
        <v>PP-R</v>
      </c>
      <c r="D175">
        <f>PPR!F109</f>
        <v>331310</v>
      </c>
      <c r="E175" t="str">
        <f>PPR!G109</f>
        <v>PPR FT TEE 110 x 110 I</v>
      </c>
      <c r="F175">
        <f>PPR!H109</f>
        <v>1</v>
      </c>
      <c r="G175" t="str">
        <f>PPR!I109</f>
        <v>unitario</v>
      </c>
      <c r="H175">
        <f>IFERROR(IF(PPR!J109="",0,PPR!J109),0)</f>
        <v>0</v>
      </c>
      <c r="I175" s="58" t="str">
        <f>IF(H175&gt;0, MAX(I$1:I174)+1, "")</f>
        <v/>
      </c>
    </row>
    <row r="176" spans="1:9" x14ac:dyDescent="0.2">
      <c r="A176" t="s">
        <v>1441</v>
      </c>
      <c r="B176" t="str">
        <f>PPR!A110</f>
        <v>Conducción Fluidos</v>
      </c>
      <c r="C176" t="str">
        <f>PPR!B110</f>
        <v>PP-R</v>
      </c>
      <c r="D176">
        <f>PPR!F110</f>
        <v>331611</v>
      </c>
      <c r="E176" t="str">
        <f>PPR!G110</f>
        <v>PPR FT TEE RED 25 x 20 x 25 I</v>
      </c>
      <c r="F176">
        <f>PPR!H110</f>
        <v>20</v>
      </c>
      <c r="G176" t="str">
        <f>PPR!I110</f>
        <v>Bolsa</v>
      </c>
      <c r="H176">
        <f>IFERROR(IF(PPR!J110="",0,PPR!J110),0)</f>
        <v>0</v>
      </c>
      <c r="I176" s="58" t="str">
        <f>IF(H176&gt;0, MAX(I$1:I175)+1, "")</f>
        <v/>
      </c>
    </row>
    <row r="177" spans="1:9" x14ac:dyDescent="0.2">
      <c r="A177" t="s">
        <v>1441</v>
      </c>
      <c r="B177" t="str">
        <f>PPR!A111</f>
        <v>Conducción Fluidos</v>
      </c>
      <c r="C177" t="str">
        <f>PPR!B111</f>
        <v>PP-R</v>
      </c>
      <c r="D177">
        <f>PPR!F111</f>
        <v>31649</v>
      </c>
      <c r="E177" t="str">
        <f>PPR!G111</f>
        <v>PPR FT TEE RED 32 x 20 x 32 N</v>
      </c>
      <c r="F177">
        <f>PPR!H111</f>
        <v>15</v>
      </c>
      <c r="G177" t="str">
        <f>PPR!I111</f>
        <v>Bolsa</v>
      </c>
      <c r="H177">
        <f>IFERROR(IF(PPR!J111="",0,PPR!J111),0)</f>
        <v>0</v>
      </c>
      <c r="I177" s="58" t="str">
        <f>IF(H177&gt;0, MAX(I$1:I176)+1, "")</f>
        <v/>
      </c>
    </row>
    <row r="178" spans="1:9" x14ac:dyDescent="0.2">
      <c r="A178" t="s">
        <v>1441</v>
      </c>
      <c r="B178" t="str">
        <f>PPR!A112</f>
        <v>Conducción Fluidos</v>
      </c>
      <c r="C178" t="str">
        <f>PPR!B112</f>
        <v>PP-R</v>
      </c>
      <c r="D178">
        <f>PPR!F112</f>
        <v>331618</v>
      </c>
      <c r="E178" t="str">
        <f>PPR!G112</f>
        <v>PPR FT TEE RED 32 x 25 x 32 I</v>
      </c>
      <c r="F178">
        <f>PPR!H112</f>
        <v>15</v>
      </c>
      <c r="G178" t="str">
        <f>PPR!I112</f>
        <v>Bolsa</v>
      </c>
      <c r="H178">
        <f>IFERROR(IF(PPR!J112="",0,PPR!J112),0)</f>
        <v>0</v>
      </c>
      <c r="I178" s="58" t="str">
        <f>IF(H178&gt;0, MAX(I$1:I177)+1, "")</f>
        <v/>
      </c>
    </row>
    <row r="179" spans="1:9" x14ac:dyDescent="0.2">
      <c r="A179" t="s">
        <v>1441</v>
      </c>
      <c r="B179" t="str">
        <f>PPR!A113</f>
        <v>Conducción Fluidos</v>
      </c>
      <c r="C179" t="str">
        <f>PPR!B113</f>
        <v>PP-R</v>
      </c>
      <c r="D179">
        <f>PPR!F113</f>
        <v>331619</v>
      </c>
      <c r="E179" t="str">
        <f>PPR!G113</f>
        <v>PPR FT TEE RED 40 x 20 x 40 I</v>
      </c>
      <c r="F179">
        <f>PPR!H113</f>
        <v>15</v>
      </c>
      <c r="G179" t="str">
        <f>PPR!I113</f>
        <v>Bolsa</v>
      </c>
      <c r="H179">
        <f>IFERROR(IF(PPR!J113="",0,PPR!J113),0)</f>
        <v>0</v>
      </c>
      <c r="I179" s="58" t="str">
        <f>IF(H179&gt;0, MAX(I$1:I178)+1, "")</f>
        <v/>
      </c>
    </row>
    <row r="180" spans="1:9" x14ac:dyDescent="0.2">
      <c r="A180" t="s">
        <v>1441</v>
      </c>
      <c r="B180" t="str">
        <f>PPR!A114</f>
        <v>Conducción Fluidos</v>
      </c>
      <c r="C180" t="str">
        <f>PPR!B114</f>
        <v>PP-R</v>
      </c>
      <c r="D180">
        <f>PPR!F114</f>
        <v>331621</v>
      </c>
      <c r="E180" t="str">
        <f>PPR!G114</f>
        <v>PPR FT TEE RED 40 x 25 x 40 I</v>
      </c>
      <c r="F180">
        <f>PPR!H114</f>
        <v>10</v>
      </c>
      <c r="G180" t="str">
        <f>PPR!I114</f>
        <v>Bolsa</v>
      </c>
      <c r="H180">
        <f>IFERROR(IF(PPR!J114="",0,PPR!J114),0)</f>
        <v>0</v>
      </c>
      <c r="I180" s="58" t="str">
        <f>IF(H180&gt;0, MAX(I$1:I179)+1, "")</f>
        <v/>
      </c>
    </row>
    <row r="181" spans="1:9" x14ac:dyDescent="0.2">
      <c r="A181" t="s">
        <v>1441</v>
      </c>
      <c r="B181" t="str">
        <f>PPR!A115</f>
        <v>Conducción Fluidos</v>
      </c>
      <c r="C181" t="str">
        <f>PPR!B115</f>
        <v>PP-R</v>
      </c>
      <c r="D181">
        <f>PPR!F115</f>
        <v>331623</v>
      </c>
      <c r="E181" t="str">
        <f>PPR!G115</f>
        <v>PPR FT TEE RED 40 x 32 x 40 I</v>
      </c>
      <c r="F181">
        <f>PPR!H115</f>
        <v>5</v>
      </c>
      <c r="G181" t="str">
        <f>PPR!I115</f>
        <v>Bolsa</v>
      </c>
      <c r="H181">
        <f>IFERROR(IF(PPR!J115="",0,PPR!J115),0)</f>
        <v>0</v>
      </c>
      <c r="I181" s="58" t="str">
        <f>IF(H181&gt;0, MAX(I$1:I180)+1, "")</f>
        <v/>
      </c>
    </row>
    <row r="182" spans="1:9" x14ac:dyDescent="0.2">
      <c r="A182" t="s">
        <v>1441</v>
      </c>
      <c r="B182" t="str">
        <f>PPR!A116</f>
        <v>Conducción Fluidos</v>
      </c>
      <c r="C182" t="str">
        <f>PPR!B116</f>
        <v>PP-R</v>
      </c>
      <c r="D182">
        <f>PPR!F116</f>
        <v>331624</v>
      </c>
      <c r="E182" t="str">
        <f>PPR!G116</f>
        <v>PPR FT TEE RED 50 x 20 x 50 I</v>
      </c>
      <c r="F182">
        <f>PPR!H116</f>
        <v>9</v>
      </c>
      <c r="G182" t="str">
        <f>PPR!I116</f>
        <v>Bolsa</v>
      </c>
      <c r="H182">
        <f>IFERROR(IF(PPR!J116="",0,PPR!J116),0)</f>
        <v>0</v>
      </c>
      <c r="I182" s="58" t="str">
        <f>IF(H182&gt;0, MAX(I$1:I181)+1, "")</f>
        <v/>
      </c>
    </row>
    <row r="183" spans="1:9" x14ac:dyDescent="0.2">
      <c r="A183" t="s">
        <v>1441</v>
      </c>
      <c r="B183" t="str">
        <f>PPR!A117</f>
        <v>Conducción Fluidos</v>
      </c>
      <c r="C183" t="str">
        <f>PPR!B117</f>
        <v>PP-R</v>
      </c>
      <c r="D183">
        <f>PPR!F117</f>
        <v>331625</v>
      </c>
      <c r="E183" t="str">
        <f>PPR!G117</f>
        <v>PPR FT TEE RED 50 x 25 x 50 I</v>
      </c>
      <c r="F183">
        <f>PPR!H117</f>
        <v>9</v>
      </c>
      <c r="G183" t="str">
        <f>PPR!I117</f>
        <v>Bolsa</v>
      </c>
      <c r="H183">
        <f>IFERROR(IF(PPR!J117="",0,PPR!J117),0)</f>
        <v>0</v>
      </c>
      <c r="I183" s="58" t="str">
        <f>IF(H183&gt;0, MAX(I$1:I182)+1, "")</f>
        <v/>
      </c>
    </row>
    <row r="184" spans="1:9" x14ac:dyDescent="0.2">
      <c r="A184" t="s">
        <v>1441</v>
      </c>
      <c r="B184" t="str">
        <f>PPR!A118</f>
        <v>Conducción Fluidos</v>
      </c>
      <c r="C184" t="str">
        <f>PPR!B118</f>
        <v>PP-R</v>
      </c>
      <c r="D184">
        <f>PPR!F118</f>
        <v>331626</v>
      </c>
      <c r="E184" t="str">
        <f>PPR!G118</f>
        <v>PPR FT TEE RED 50 x 32 x 50 I</v>
      </c>
      <c r="F184">
        <f>PPR!H118</f>
        <v>9</v>
      </c>
      <c r="G184" t="str">
        <f>PPR!I118</f>
        <v>Bolsa</v>
      </c>
      <c r="H184">
        <f>IFERROR(IF(PPR!J118="",0,PPR!J118),0)</f>
        <v>0</v>
      </c>
      <c r="I184" s="58" t="str">
        <f>IF(H184&gt;0, MAX(I$1:I183)+1, "")</f>
        <v/>
      </c>
    </row>
    <row r="185" spans="1:9" x14ac:dyDescent="0.2">
      <c r="A185" t="s">
        <v>1441</v>
      </c>
      <c r="B185" t="str">
        <f>PPR!A119</f>
        <v>Conducción Fluidos</v>
      </c>
      <c r="C185" t="str">
        <f>PPR!B119</f>
        <v>PP-R</v>
      </c>
      <c r="D185">
        <f>PPR!F119</f>
        <v>331627</v>
      </c>
      <c r="E185" t="str">
        <f>PPR!G119</f>
        <v>PPR FT TEE RED 50 x 40 x 50 I</v>
      </c>
      <c r="F185">
        <f>PPR!H119</f>
        <v>8</v>
      </c>
      <c r="G185" t="str">
        <f>PPR!I119</f>
        <v>Bolsa</v>
      </c>
      <c r="H185">
        <f>IFERROR(IF(PPR!J119="",0,PPR!J119),0)</f>
        <v>0</v>
      </c>
      <c r="I185" s="58" t="str">
        <f>IF(H185&gt;0, MAX(I$1:I184)+1, "")</f>
        <v/>
      </c>
    </row>
    <row r="186" spans="1:9" x14ac:dyDescent="0.2">
      <c r="A186" t="s">
        <v>1441</v>
      </c>
      <c r="B186" t="str">
        <f>PPR!A120</f>
        <v>Conducción Fluidos</v>
      </c>
      <c r="C186" t="str">
        <f>PPR!B120</f>
        <v>PP-R</v>
      </c>
      <c r="D186">
        <f>PPR!F120</f>
        <v>331628</v>
      </c>
      <c r="E186" t="str">
        <f>PPR!G120</f>
        <v>PPR FT TEE RED 63 x 20 x 63 I</v>
      </c>
      <c r="F186">
        <f>PPR!H120</f>
        <v>8</v>
      </c>
      <c r="G186" t="str">
        <f>PPR!I120</f>
        <v>Bolsa</v>
      </c>
      <c r="H186">
        <f>IFERROR(IF(PPR!J120="",0,PPR!J120),0)</f>
        <v>0</v>
      </c>
      <c r="I186" s="58" t="str">
        <f>IF(H186&gt;0, MAX(I$1:I185)+1, "")</f>
        <v/>
      </c>
    </row>
    <row r="187" spans="1:9" x14ac:dyDescent="0.2">
      <c r="A187" t="s">
        <v>1441</v>
      </c>
      <c r="B187" t="str">
        <f>PPR!A121</f>
        <v>Conducción Fluidos</v>
      </c>
      <c r="C187" t="str">
        <f>PPR!B121</f>
        <v>PP-R</v>
      </c>
      <c r="D187">
        <f>PPR!F121</f>
        <v>331629</v>
      </c>
      <c r="E187" t="str">
        <f>PPR!G121</f>
        <v>PPR FT TEE RED 63 x 25 x 63 I</v>
      </c>
      <c r="F187">
        <f>PPR!H121</f>
        <v>6</v>
      </c>
      <c r="G187" t="str">
        <f>PPR!I121</f>
        <v>Bolsa</v>
      </c>
      <c r="H187">
        <f>IFERROR(IF(PPR!J121="",0,PPR!J121),0)</f>
        <v>0</v>
      </c>
      <c r="I187" s="58" t="str">
        <f>IF(H187&gt;0, MAX(I$1:I186)+1, "")</f>
        <v/>
      </c>
    </row>
    <row r="188" spans="1:9" x14ac:dyDescent="0.2">
      <c r="A188" t="s">
        <v>1441</v>
      </c>
      <c r="B188" t="str">
        <f>PPR!A122</f>
        <v>Conducción Fluidos</v>
      </c>
      <c r="C188" t="str">
        <f>PPR!B122</f>
        <v>PP-R</v>
      </c>
      <c r="D188">
        <f>PPR!F122</f>
        <v>331630</v>
      </c>
      <c r="E188" t="str">
        <f>PPR!G122</f>
        <v>PPR FT TEE RED 63 x 32 x 63 I</v>
      </c>
      <c r="F188">
        <f>PPR!H122</f>
        <v>6</v>
      </c>
      <c r="G188" t="str">
        <f>PPR!I122</f>
        <v>Bolsa</v>
      </c>
      <c r="H188">
        <f>IFERROR(IF(PPR!J122="",0,PPR!J122),0)</f>
        <v>0</v>
      </c>
      <c r="I188" s="58" t="str">
        <f>IF(H188&gt;0, MAX(I$1:I187)+1, "")</f>
        <v/>
      </c>
    </row>
    <row r="189" spans="1:9" x14ac:dyDescent="0.2">
      <c r="A189" t="s">
        <v>1441</v>
      </c>
      <c r="B189" t="str">
        <f>PPR!A123</f>
        <v>Conducción Fluidos</v>
      </c>
      <c r="C189" t="str">
        <f>PPR!B123</f>
        <v>PP-R</v>
      </c>
      <c r="D189">
        <f>PPR!F123</f>
        <v>331631</v>
      </c>
      <c r="E189" t="str">
        <f>PPR!G123</f>
        <v>PPR FT TEE RED 63 x 40 x 63 I</v>
      </c>
      <c r="F189">
        <f>PPR!H123</f>
        <v>6</v>
      </c>
      <c r="G189" t="str">
        <f>PPR!I123</f>
        <v>Bolsa</v>
      </c>
      <c r="H189">
        <f>IFERROR(IF(PPR!J123="",0,PPR!J123),0)</f>
        <v>0</v>
      </c>
      <c r="I189" s="58" t="str">
        <f>IF(H189&gt;0, MAX(I$1:I188)+1, "")</f>
        <v/>
      </c>
    </row>
    <row r="190" spans="1:9" x14ac:dyDescent="0.2">
      <c r="A190" t="s">
        <v>1441</v>
      </c>
      <c r="B190" t="str">
        <f>PPR!A124</f>
        <v>Conducción Fluidos</v>
      </c>
      <c r="C190" t="str">
        <f>PPR!B124</f>
        <v>PP-R</v>
      </c>
      <c r="D190">
        <f>PPR!F124</f>
        <v>331632</v>
      </c>
      <c r="E190" t="str">
        <f>PPR!G124</f>
        <v>PPR FT TEE RED 63 x 50 x 63 I</v>
      </c>
      <c r="F190">
        <f>PPR!H124</f>
        <v>6</v>
      </c>
      <c r="G190" t="str">
        <f>PPR!I124</f>
        <v>Bolsa</v>
      </c>
      <c r="H190">
        <f>IFERROR(IF(PPR!J124="",0,PPR!J124),0)</f>
        <v>0</v>
      </c>
      <c r="I190" s="58" t="str">
        <f>IF(H190&gt;0, MAX(I$1:I189)+1, "")</f>
        <v/>
      </c>
    </row>
    <row r="191" spans="1:9" x14ac:dyDescent="0.2">
      <c r="A191" t="s">
        <v>1441</v>
      </c>
      <c r="B191" t="str">
        <f>PPR!A125</f>
        <v>Conducción Fluidos</v>
      </c>
      <c r="C191" t="str">
        <f>PPR!B125</f>
        <v>PP-R</v>
      </c>
      <c r="D191">
        <f>PPR!F125</f>
        <v>331635</v>
      </c>
      <c r="E191" t="str">
        <f>PPR!G125</f>
        <v>PPR FT TEE RED 75 x 32 x 75 I</v>
      </c>
      <c r="F191">
        <f>PPR!H125</f>
        <v>1</v>
      </c>
      <c r="G191" t="str">
        <f>PPR!I125</f>
        <v>Bolsa</v>
      </c>
      <c r="H191">
        <f>IFERROR(IF(PPR!J125="",0,PPR!J125),0)</f>
        <v>0</v>
      </c>
      <c r="I191" s="58" t="str">
        <f>IF(H191&gt;0, MAX(I$1:I190)+1, "")</f>
        <v/>
      </c>
    </row>
    <row r="192" spans="1:9" x14ac:dyDescent="0.2">
      <c r="A192" t="s">
        <v>1441</v>
      </c>
      <c r="B192" t="str">
        <f>PPR!A126</f>
        <v>Conducción Fluidos</v>
      </c>
      <c r="C192" t="str">
        <f>PPR!B126</f>
        <v>PP-R</v>
      </c>
      <c r="D192">
        <f>PPR!F126</f>
        <v>331636</v>
      </c>
      <c r="E192" t="str">
        <f>PPR!G126</f>
        <v>PPR FT TEE RED 75 x 40 x 75 I</v>
      </c>
      <c r="F192">
        <f>PPR!H126</f>
        <v>1</v>
      </c>
      <c r="G192" t="str">
        <f>PPR!I126</f>
        <v>Bolsa</v>
      </c>
      <c r="H192">
        <f>IFERROR(IF(PPR!J126="",0,PPR!J126),0)</f>
        <v>0</v>
      </c>
      <c r="I192" s="58" t="str">
        <f>IF(H192&gt;0, MAX(I$1:I191)+1, "")</f>
        <v/>
      </c>
    </row>
    <row r="193" spans="1:9" x14ac:dyDescent="0.2">
      <c r="A193" t="s">
        <v>1441</v>
      </c>
      <c r="B193" t="str">
        <f>PPR!A127</f>
        <v>Conducción Fluidos</v>
      </c>
      <c r="C193" t="str">
        <f>PPR!B127</f>
        <v>PP-R</v>
      </c>
      <c r="D193">
        <f>PPR!F127</f>
        <v>331637</v>
      </c>
      <c r="E193" t="str">
        <f>PPR!G127</f>
        <v>PPR FT TEE RED 75 x 50 x 75 I</v>
      </c>
      <c r="F193">
        <f>PPR!H127</f>
        <v>1</v>
      </c>
      <c r="G193" t="str">
        <f>PPR!I127</f>
        <v>Bolsa</v>
      </c>
      <c r="H193">
        <f>IFERROR(IF(PPR!J127="",0,PPR!J127),0)</f>
        <v>0</v>
      </c>
      <c r="I193" s="58" t="str">
        <f>IF(H193&gt;0, MAX(I$1:I192)+1, "")</f>
        <v/>
      </c>
    </row>
    <row r="194" spans="1:9" x14ac:dyDescent="0.2">
      <c r="A194" t="s">
        <v>1441</v>
      </c>
      <c r="B194" t="str">
        <f>PPR!A128</f>
        <v>Conducción Fluidos</v>
      </c>
      <c r="C194" t="str">
        <f>PPR!B128</f>
        <v>PP-R</v>
      </c>
      <c r="D194">
        <f>PPR!F128</f>
        <v>331638</v>
      </c>
      <c r="E194" t="str">
        <f>PPR!G128</f>
        <v>PPR FT TEE RED 75 x 63 x 75 I</v>
      </c>
      <c r="F194">
        <f>PPR!H128</f>
        <v>1</v>
      </c>
      <c r="G194" t="str">
        <f>PPR!I128</f>
        <v>Bolsa</v>
      </c>
      <c r="H194">
        <f>IFERROR(IF(PPR!J128="",0,PPR!J128),0)</f>
        <v>0</v>
      </c>
      <c r="I194" s="58" t="str">
        <f>IF(H194&gt;0, MAX(I$1:I193)+1, "")</f>
        <v/>
      </c>
    </row>
    <row r="195" spans="1:9" x14ac:dyDescent="0.2">
      <c r="A195" t="s">
        <v>1441</v>
      </c>
      <c r="B195" t="str">
        <f>PPR!A129</f>
        <v>Conducción Fluidos</v>
      </c>
      <c r="C195" t="str">
        <f>PPR!B129</f>
        <v>PP-R</v>
      </c>
      <c r="D195">
        <f>PPR!F129</f>
        <v>331640</v>
      </c>
      <c r="E195" t="str">
        <f>PPR!G129</f>
        <v>PPR FT TEE RED 90 X 40 X 90 I</v>
      </c>
      <c r="F195">
        <f>PPR!H129</f>
        <v>1</v>
      </c>
      <c r="G195" t="str">
        <f>PPR!I129</f>
        <v>Bolsa</v>
      </c>
      <c r="H195">
        <f>IFERROR(IF(PPR!J129="",0,PPR!J129),0)</f>
        <v>0</v>
      </c>
      <c r="I195" s="58" t="str">
        <f>IF(H195&gt;0, MAX(I$1:I194)+1, "")</f>
        <v/>
      </c>
    </row>
    <row r="196" spans="1:9" x14ac:dyDescent="0.2">
      <c r="A196" t="s">
        <v>1441</v>
      </c>
      <c r="B196" t="str">
        <f>PPR!A130</f>
        <v>Conducción Fluidos</v>
      </c>
      <c r="C196" t="str">
        <f>PPR!B130</f>
        <v>PP-R</v>
      </c>
      <c r="D196">
        <f>PPR!F130</f>
        <v>331641</v>
      </c>
      <c r="E196" t="str">
        <f>PPR!G130</f>
        <v>PPR FT TEE RED 90 X 50 X 90 I</v>
      </c>
      <c r="F196">
        <f>PPR!H130</f>
        <v>1</v>
      </c>
      <c r="G196" t="str">
        <f>PPR!I130</f>
        <v>Bolsa</v>
      </c>
      <c r="H196">
        <f>IFERROR(IF(PPR!J130="",0,PPR!J130),0)</f>
        <v>0</v>
      </c>
      <c r="I196" s="58" t="str">
        <f>IF(H196&gt;0, MAX(I$1:I195)+1, "")</f>
        <v/>
      </c>
    </row>
    <row r="197" spans="1:9" x14ac:dyDescent="0.2">
      <c r="A197" t="s">
        <v>1441</v>
      </c>
      <c r="B197" t="str">
        <f>PPR!A131</f>
        <v>Conducción Fluidos</v>
      </c>
      <c r="C197" t="str">
        <f>PPR!B131</f>
        <v>PP-R</v>
      </c>
      <c r="D197">
        <f>PPR!F131</f>
        <v>331642</v>
      </c>
      <c r="E197" t="str">
        <f>PPR!G131</f>
        <v>PPR FT TEE RED 90 x 63 x 90 I</v>
      </c>
      <c r="F197">
        <f>PPR!H131</f>
        <v>1</v>
      </c>
      <c r="G197" t="str">
        <f>PPR!I131</f>
        <v>Bolsa</v>
      </c>
      <c r="H197">
        <f>IFERROR(IF(PPR!J131="",0,PPR!J131),0)</f>
        <v>0</v>
      </c>
      <c r="I197" s="58" t="str">
        <f>IF(H197&gt;0, MAX(I$1:I196)+1, "")</f>
        <v/>
      </c>
    </row>
    <row r="198" spans="1:9" x14ac:dyDescent="0.2">
      <c r="A198" t="s">
        <v>1441</v>
      </c>
      <c r="B198" t="str">
        <f>PPR!A132</f>
        <v>Conducción Fluidos</v>
      </c>
      <c r="C198" t="str">
        <f>PPR!B132</f>
        <v>PP-R</v>
      </c>
      <c r="D198">
        <f>PPR!F132</f>
        <v>331643</v>
      </c>
      <c r="E198" t="str">
        <f>PPR!G132</f>
        <v>PPR FT TEE RED 90 x 75 x 90 I</v>
      </c>
      <c r="F198">
        <f>PPR!H132</f>
        <v>1</v>
      </c>
      <c r="G198" t="str">
        <f>PPR!I132</f>
        <v>Bolsa</v>
      </c>
      <c r="H198">
        <f>IFERROR(IF(PPR!J132="",0,PPR!J132),0)</f>
        <v>0</v>
      </c>
      <c r="I198" s="58" t="str">
        <f>IF(H198&gt;0, MAX(I$1:I197)+1, "")</f>
        <v/>
      </c>
    </row>
    <row r="199" spans="1:9" x14ac:dyDescent="0.2">
      <c r="A199" t="s">
        <v>1441</v>
      </c>
      <c r="B199" t="str">
        <f>PPR!A133</f>
        <v>Conducción Fluidos</v>
      </c>
      <c r="C199" t="str">
        <f>PPR!B133</f>
        <v>PP-R</v>
      </c>
      <c r="D199">
        <f>PPR!F133</f>
        <v>331645</v>
      </c>
      <c r="E199" t="str">
        <f>PPR!G133</f>
        <v>PPR FT TEE RED 110 x 50 x 110 I</v>
      </c>
      <c r="F199">
        <f>PPR!H133</f>
        <v>1</v>
      </c>
      <c r="G199" t="str">
        <f>PPR!I133</f>
        <v>Bolsa</v>
      </c>
      <c r="H199">
        <f>IFERROR(IF(PPR!J133="",0,PPR!J133),0)</f>
        <v>0</v>
      </c>
      <c r="I199" s="58" t="str">
        <f>IF(H199&gt;0, MAX(I$1:I198)+1, "")</f>
        <v/>
      </c>
    </row>
    <row r="200" spans="1:9" x14ac:dyDescent="0.2">
      <c r="A200" t="s">
        <v>1441</v>
      </c>
      <c r="B200" t="str">
        <f>PPR!A134</f>
        <v>Conducción Fluidos</v>
      </c>
      <c r="C200" t="str">
        <f>PPR!B134</f>
        <v>PP-R</v>
      </c>
      <c r="D200">
        <f>PPR!F134</f>
        <v>331646</v>
      </c>
      <c r="E200" t="str">
        <f>PPR!G134</f>
        <v>PPR FT TEE RED 110 x 63 x 110 I</v>
      </c>
      <c r="F200">
        <f>PPR!H134</f>
        <v>1</v>
      </c>
      <c r="G200" t="str">
        <f>PPR!I134</f>
        <v>unitario</v>
      </c>
      <c r="H200">
        <f>IFERROR(IF(PPR!J134="",0,PPR!J134),0)</f>
        <v>0</v>
      </c>
      <c r="I200" s="58" t="str">
        <f>IF(H200&gt;0, MAX(I$1:I199)+1, "")</f>
        <v/>
      </c>
    </row>
    <row r="201" spans="1:9" x14ac:dyDescent="0.2">
      <c r="A201" t="s">
        <v>1441</v>
      </c>
      <c r="B201" t="str">
        <f>PPR!A135</f>
        <v>Conducción Fluidos</v>
      </c>
      <c r="C201" t="str">
        <f>PPR!B135</f>
        <v>PP-R</v>
      </c>
      <c r="D201">
        <f>PPR!F135</f>
        <v>331647</v>
      </c>
      <c r="E201" t="str">
        <f>PPR!G135</f>
        <v>PPR FT TEE RED 110 x 75 x 110 I</v>
      </c>
      <c r="F201">
        <f>PPR!H135</f>
        <v>1</v>
      </c>
      <c r="G201" t="str">
        <f>PPR!I135</f>
        <v>unitario</v>
      </c>
      <c r="H201">
        <f>IFERROR(IF(PPR!J135="",0,PPR!J135),0)</f>
        <v>0</v>
      </c>
      <c r="I201" s="58" t="str">
        <f>IF(H201&gt;0, MAX(I$1:I200)+1, "")</f>
        <v/>
      </c>
    </row>
    <row r="202" spans="1:9" x14ac:dyDescent="0.2">
      <c r="A202" t="s">
        <v>1441</v>
      </c>
      <c r="B202" t="str">
        <f>PPR!A136</f>
        <v>Conducción Fluidos</v>
      </c>
      <c r="C202" t="str">
        <f>PPR!B136</f>
        <v>PP-R</v>
      </c>
      <c r="D202">
        <f>PPR!F136</f>
        <v>331648</v>
      </c>
      <c r="E202" t="str">
        <f>PPR!G136</f>
        <v>PPR FT TEE RED 110 x 90 x 110 I</v>
      </c>
      <c r="F202">
        <f>PPR!H136</f>
        <v>1</v>
      </c>
      <c r="G202" t="str">
        <f>PPR!I136</f>
        <v>unitario</v>
      </c>
      <c r="H202">
        <f>IFERROR(IF(PPR!J136="",0,PPR!J136),0)</f>
        <v>0</v>
      </c>
      <c r="I202" s="58" t="str">
        <f>IF(H202&gt;0, MAX(I$1:I201)+1, "")</f>
        <v/>
      </c>
    </row>
    <row r="203" spans="1:9" x14ac:dyDescent="0.2">
      <c r="A203" t="s">
        <v>1441</v>
      </c>
      <c r="B203" t="str">
        <f>PPR!A137</f>
        <v>Conducción Fluidos</v>
      </c>
      <c r="C203" t="str">
        <f>PPR!B137</f>
        <v>PP-R</v>
      </c>
      <c r="D203">
        <f>PPR!F137</f>
        <v>31605</v>
      </c>
      <c r="E203" t="str">
        <f>PPR!G137</f>
        <v>PPR FT TEE RED 20 x 25 x 20 N</v>
      </c>
      <c r="F203">
        <f>PPR!H137</f>
        <v>50</v>
      </c>
      <c r="G203" t="str">
        <f>PPR!I137</f>
        <v>Bolsa</v>
      </c>
      <c r="H203">
        <f>IFERROR(IF(PPR!J137="",0,PPR!J137),0)</f>
        <v>0</v>
      </c>
      <c r="I203" s="58" t="str">
        <f>IF(H203&gt;0, MAX(I$1:I202)+1, "")</f>
        <v/>
      </c>
    </row>
    <row r="204" spans="1:9" x14ac:dyDescent="0.2">
      <c r="A204" t="s">
        <v>1441</v>
      </c>
      <c r="B204" t="str">
        <f>PPR!A138</f>
        <v>Conducción Fluidos</v>
      </c>
      <c r="C204" t="str">
        <f>PPR!B138</f>
        <v>PP-R</v>
      </c>
      <c r="D204">
        <f>PPR!F138</f>
        <v>31612</v>
      </c>
      <c r="E204" t="str">
        <f>PPR!G138</f>
        <v>PPR FT TEE RED 25 x 25 x 20 N</v>
      </c>
      <c r="F204">
        <f>PPR!H138</f>
        <v>50</v>
      </c>
      <c r="G204" t="str">
        <f>PPR!I138</f>
        <v>Bolsa</v>
      </c>
      <c r="H204">
        <f>IFERROR(IF(PPR!J138="",0,PPR!J138),0)</f>
        <v>0</v>
      </c>
      <c r="I204" s="58" t="str">
        <f>IF(H204&gt;0, MAX(I$1:I203)+1, "")</f>
        <v/>
      </c>
    </row>
    <row r="205" spans="1:9" x14ac:dyDescent="0.2">
      <c r="A205" t="s">
        <v>1441</v>
      </c>
      <c r="B205" t="str">
        <f>PPR!A139</f>
        <v>Conducción Fluidos</v>
      </c>
      <c r="C205" t="str">
        <f>PPR!B139</f>
        <v>PP-R</v>
      </c>
      <c r="D205">
        <f>PPR!F139</f>
        <v>31614</v>
      </c>
      <c r="E205" t="str">
        <f>PPR!G139</f>
        <v>PPR FT TEE RED 32 x 20 x 20 N</v>
      </c>
      <c r="F205">
        <f>PPR!H139</f>
        <v>25</v>
      </c>
      <c r="G205" t="str">
        <f>PPR!I139</f>
        <v>Bolsa</v>
      </c>
      <c r="H205">
        <f>IFERROR(IF(PPR!J139="",0,PPR!J139),0)</f>
        <v>0</v>
      </c>
      <c r="I205" s="58" t="str">
        <f>IF(H205&gt;0, MAX(I$1:I204)+1, "")</f>
        <v/>
      </c>
    </row>
    <row r="206" spans="1:9" x14ac:dyDescent="0.2">
      <c r="A206" t="s">
        <v>1441</v>
      </c>
      <c r="B206" t="str">
        <f>PPR!A140</f>
        <v>Conducción Fluidos</v>
      </c>
      <c r="C206" t="str">
        <f>PPR!B140</f>
        <v>PP-R</v>
      </c>
      <c r="D206">
        <f>PPR!F140</f>
        <v>31615</v>
      </c>
      <c r="E206" t="str">
        <f>PPR!G140</f>
        <v>PPR FT TEE RED 32 x 20 x 25 N</v>
      </c>
      <c r="F206">
        <f>PPR!H140</f>
        <v>25</v>
      </c>
      <c r="G206" t="str">
        <f>PPR!I140</f>
        <v>Bolsa</v>
      </c>
      <c r="H206">
        <f>IFERROR(IF(PPR!J140="",0,PPR!J140),0)</f>
        <v>0</v>
      </c>
      <c r="I206" s="58" t="str">
        <f>IF(H206&gt;0, MAX(I$1:I205)+1, "")</f>
        <v/>
      </c>
    </row>
    <row r="207" spans="1:9" x14ac:dyDescent="0.2">
      <c r="A207" t="s">
        <v>1441</v>
      </c>
      <c r="B207" t="str">
        <f>PPR!A141</f>
        <v>Conducción Fluidos</v>
      </c>
      <c r="C207" t="str">
        <f>PPR!B141</f>
        <v>PP-R</v>
      </c>
      <c r="D207">
        <f>PPR!F141</f>
        <v>31616</v>
      </c>
      <c r="E207" t="str">
        <f>PPR!G141</f>
        <v>PPR FT TEE RED 32 x 25 x 20 N</v>
      </c>
      <c r="F207">
        <f>PPR!H141</f>
        <v>15</v>
      </c>
      <c r="G207" t="str">
        <f>PPR!I141</f>
        <v>Bolsa</v>
      </c>
      <c r="H207">
        <f>IFERROR(IF(PPR!J141="",0,PPR!J141),0)</f>
        <v>0</v>
      </c>
      <c r="I207" s="58" t="str">
        <f>IF(H207&gt;0, MAX(I$1:I206)+1, "")</f>
        <v/>
      </c>
    </row>
    <row r="208" spans="1:9" x14ac:dyDescent="0.2">
      <c r="A208" t="s">
        <v>1441</v>
      </c>
      <c r="B208" t="str">
        <f>PPR!A142</f>
        <v>Conducción Fluidos</v>
      </c>
      <c r="C208" t="str">
        <f>PPR!B142</f>
        <v>PP-R</v>
      </c>
      <c r="D208">
        <f>PPR!F142</f>
        <v>31617</v>
      </c>
      <c r="E208" t="str">
        <f>PPR!G142</f>
        <v>PPR FT TEE RED 32 x 25 x 25 N</v>
      </c>
      <c r="F208">
        <f>PPR!H142</f>
        <v>15</v>
      </c>
      <c r="G208" t="str">
        <f>PPR!I142</f>
        <v>Bolsa</v>
      </c>
      <c r="H208">
        <f>IFERROR(IF(PPR!J142="",0,PPR!J142),0)</f>
        <v>0</v>
      </c>
      <c r="I208" s="58" t="str">
        <f>IF(H208&gt;0, MAX(I$1:I207)+1, "")</f>
        <v/>
      </c>
    </row>
    <row r="209" spans="1:9" x14ac:dyDescent="0.2">
      <c r="A209" t="s">
        <v>1441</v>
      </c>
      <c r="B209" t="str">
        <f>PPR!A143</f>
        <v>Conducción Fluidos</v>
      </c>
      <c r="C209" t="str">
        <f>PPR!B143</f>
        <v>PP-R</v>
      </c>
      <c r="D209">
        <f>PPR!F143</f>
        <v>31620</v>
      </c>
      <c r="E209" t="str">
        <f>PPR!G143</f>
        <v>PPR FT TEE RED 40 x 25 x 32 N</v>
      </c>
      <c r="F209">
        <f>PPR!H143</f>
        <v>10</v>
      </c>
      <c r="G209" t="str">
        <f>PPR!I143</f>
        <v>Bolsa</v>
      </c>
      <c r="H209">
        <f>IFERROR(IF(PPR!J143="",0,PPR!J143),0)</f>
        <v>0</v>
      </c>
      <c r="I209" s="58" t="str">
        <f>IF(H209&gt;0, MAX(I$1:I208)+1, "")</f>
        <v/>
      </c>
    </row>
    <row r="210" spans="1:9" x14ac:dyDescent="0.2">
      <c r="A210" t="s">
        <v>1441</v>
      </c>
      <c r="B210" t="str">
        <f>PPR!A144</f>
        <v>Conducción Fluidos</v>
      </c>
      <c r="C210" t="str">
        <f>PPR!B144</f>
        <v>PP-R</v>
      </c>
      <c r="D210">
        <f>PPR!F144</f>
        <v>31622</v>
      </c>
      <c r="E210" t="str">
        <f>PPR!G144</f>
        <v>PPR FT TEE RED 40 x 32 x 25 N</v>
      </c>
      <c r="F210">
        <f>PPR!H144</f>
        <v>5</v>
      </c>
      <c r="G210" t="str">
        <f>PPR!I144</f>
        <v>Bolsa</v>
      </c>
      <c r="H210">
        <f>IFERROR(IF(PPR!J144="",0,PPR!J144),0)</f>
        <v>0</v>
      </c>
      <c r="I210" s="58" t="str">
        <f>IF(H210&gt;0, MAX(I$1:I209)+1, "")</f>
        <v/>
      </c>
    </row>
    <row r="211" spans="1:9" x14ac:dyDescent="0.2">
      <c r="A211" t="s">
        <v>1441</v>
      </c>
      <c r="B211" t="str">
        <f>PPR!A145</f>
        <v>Conducción Fluidos</v>
      </c>
      <c r="C211" t="str">
        <f>PPR!B145</f>
        <v>PP-R</v>
      </c>
      <c r="D211">
        <f>PPR!F145</f>
        <v>31633</v>
      </c>
      <c r="E211" t="str">
        <f>PPR!G145</f>
        <v>PPR FT TEE RED 75 x 20 x 75 N</v>
      </c>
      <c r="F211">
        <f>PPR!H145</f>
        <v>1</v>
      </c>
      <c r="G211" t="str">
        <f>PPR!I145</f>
        <v>unitario</v>
      </c>
      <c r="H211">
        <f>IFERROR(IF(PPR!J145="",0,PPR!J145),0)</f>
        <v>0</v>
      </c>
      <c r="I211" s="58" t="str">
        <f>IF(H211&gt;0, MAX(I$1:I210)+1, "")</f>
        <v/>
      </c>
    </row>
    <row r="212" spans="1:9" x14ac:dyDescent="0.2">
      <c r="A212" t="s">
        <v>1441</v>
      </c>
      <c r="B212" t="str">
        <f>PPR!A146</f>
        <v>Conducción Fluidos</v>
      </c>
      <c r="C212" t="str">
        <f>PPR!B146</f>
        <v>PP-R</v>
      </c>
      <c r="D212">
        <f>PPR!F146</f>
        <v>31634</v>
      </c>
      <c r="E212" t="str">
        <f>PPR!G146</f>
        <v>PPR FT TEE RED 75 x 25 x 75 N</v>
      </c>
      <c r="F212">
        <f>PPR!H146</f>
        <v>1</v>
      </c>
      <c r="G212" t="str">
        <f>PPR!I146</f>
        <v>unitario</v>
      </c>
      <c r="H212">
        <f>IFERROR(IF(PPR!J146="",0,PPR!J146),0)</f>
        <v>0</v>
      </c>
      <c r="I212" s="58" t="str">
        <f>IF(H212&gt;0, MAX(I$1:I211)+1, "")</f>
        <v/>
      </c>
    </row>
    <row r="213" spans="1:9" x14ac:dyDescent="0.2">
      <c r="A213" t="s">
        <v>1441</v>
      </c>
      <c r="B213" t="str">
        <f>PPR!A147</f>
        <v>Conducción Fluidos</v>
      </c>
      <c r="C213" t="str">
        <f>PPR!B147</f>
        <v>PP-R</v>
      </c>
      <c r="D213">
        <f>PPR!F147</f>
        <v>339001</v>
      </c>
      <c r="E213" t="str">
        <f>PPR!G147</f>
        <v>PPR FT TEE HE R.MET 20 1/2' I</v>
      </c>
      <c r="F213">
        <f>PPR!H147</f>
        <v>10</v>
      </c>
      <c r="G213" t="str">
        <f>PPR!I147</f>
        <v>Bolsa</v>
      </c>
      <c r="H213">
        <f>IFERROR(IF(PPR!J147="",0,PPR!J147),0)</f>
        <v>0</v>
      </c>
      <c r="I213" s="58" t="str">
        <f>IF(H213&gt;0, MAX(I$1:I212)+1, "")</f>
        <v/>
      </c>
    </row>
    <row r="214" spans="1:9" x14ac:dyDescent="0.2">
      <c r="A214" t="s">
        <v>1441</v>
      </c>
      <c r="B214" t="str">
        <f>PPR!A148</f>
        <v>Conducción Fluidos</v>
      </c>
      <c r="C214" t="str">
        <f>PPR!B148</f>
        <v>PP-R</v>
      </c>
      <c r="D214">
        <f>PPR!F148</f>
        <v>339002</v>
      </c>
      <c r="E214" t="str">
        <f>PPR!G148</f>
        <v>PPR FT TEE HE R.MET 20 3/4' I</v>
      </c>
      <c r="F214">
        <f>PPR!H148</f>
        <v>10</v>
      </c>
      <c r="G214" t="str">
        <f>PPR!I148</f>
        <v>Bolsa</v>
      </c>
      <c r="H214">
        <f>IFERROR(IF(PPR!J148="",0,PPR!J148),0)</f>
        <v>0</v>
      </c>
      <c r="I214" s="58" t="str">
        <f>IF(H214&gt;0, MAX(I$1:I213)+1, "")</f>
        <v/>
      </c>
    </row>
    <row r="215" spans="1:9" x14ac:dyDescent="0.2">
      <c r="A215" t="s">
        <v>1441</v>
      </c>
      <c r="B215" t="str">
        <f>PPR!A149</f>
        <v>Conducción Fluidos</v>
      </c>
      <c r="C215" t="str">
        <f>PPR!B149</f>
        <v>PP-R</v>
      </c>
      <c r="D215">
        <f>PPR!F149</f>
        <v>339003</v>
      </c>
      <c r="E215" t="str">
        <f>PPR!G149</f>
        <v>PPR FT TEE HE R.MET 25 1/2' I</v>
      </c>
      <c r="F215">
        <f>PPR!H149</f>
        <v>10</v>
      </c>
      <c r="G215" t="str">
        <f>PPR!I149</f>
        <v>Bolsa</v>
      </c>
      <c r="H215">
        <f>IFERROR(IF(PPR!J149="",0,PPR!J149),0)</f>
        <v>0</v>
      </c>
      <c r="I215" s="58" t="str">
        <f>IF(H215&gt;0, MAX(I$1:I214)+1, "")</f>
        <v/>
      </c>
    </row>
    <row r="216" spans="1:9" x14ac:dyDescent="0.2">
      <c r="A216" t="s">
        <v>1441</v>
      </c>
      <c r="B216" t="str">
        <f>PPR!A150</f>
        <v>Conducción Fluidos</v>
      </c>
      <c r="C216" t="str">
        <f>PPR!B150</f>
        <v>PP-R</v>
      </c>
      <c r="D216">
        <f>PPR!F150</f>
        <v>339004</v>
      </c>
      <c r="E216" t="str">
        <f>PPR!G150</f>
        <v>PPR FT TEE HE R.MET 25 3/4' I</v>
      </c>
      <c r="F216">
        <f>PPR!H150</f>
        <v>12</v>
      </c>
      <c r="G216" t="str">
        <f>PPR!I150</f>
        <v>Bolsa</v>
      </c>
      <c r="H216">
        <f>IFERROR(IF(PPR!J150="",0,PPR!J150),0)</f>
        <v>0</v>
      </c>
      <c r="I216" s="58" t="str">
        <f>IF(H216&gt;0, MAX(I$1:I215)+1, "")</f>
        <v/>
      </c>
    </row>
    <row r="217" spans="1:9" x14ac:dyDescent="0.2">
      <c r="A217" t="s">
        <v>1441</v>
      </c>
      <c r="B217" t="str">
        <f>PPR!A151</f>
        <v>Conducción Fluidos</v>
      </c>
      <c r="C217" t="str">
        <f>PPR!B151</f>
        <v>PP-R</v>
      </c>
      <c r="D217">
        <f>PPR!F151</f>
        <v>339005</v>
      </c>
      <c r="E217" t="str">
        <f>PPR!G151</f>
        <v>PPR FT TEE HE R.MET 32 1/2' I</v>
      </c>
      <c r="F217">
        <f>PPR!H151</f>
        <v>10</v>
      </c>
      <c r="G217" t="str">
        <f>PPR!I151</f>
        <v>Bolsa</v>
      </c>
      <c r="H217">
        <f>IFERROR(IF(PPR!J151="",0,PPR!J151),0)</f>
        <v>0</v>
      </c>
      <c r="I217" s="58" t="str">
        <f>IF(H217&gt;0, MAX(I$1:I216)+1, "")</f>
        <v/>
      </c>
    </row>
    <row r="218" spans="1:9" x14ac:dyDescent="0.2">
      <c r="A218" t="s">
        <v>1441</v>
      </c>
      <c r="B218" t="str">
        <f>PPR!A152</f>
        <v>Conducción Fluidos</v>
      </c>
      <c r="C218" t="str">
        <f>PPR!B152</f>
        <v>PP-R</v>
      </c>
      <c r="D218">
        <f>PPR!F152</f>
        <v>339006</v>
      </c>
      <c r="E218" t="str">
        <f>PPR!G152</f>
        <v>PPR FT TEE HE R.MET 32 3/4' I</v>
      </c>
      <c r="F218">
        <f>PPR!H152</f>
        <v>5</v>
      </c>
      <c r="G218" t="str">
        <f>PPR!I152</f>
        <v>Bolsa</v>
      </c>
      <c r="H218">
        <f>IFERROR(IF(PPR!J152="",0,PPR!J152),0)</f>
        <v>0</v>
      </c>
      <c r="I218" s="58" t="str">
        <f>IF(H218&gt;0, MAX(I$1:I217)+1, "")</f>
        <v/>
      </c>
    </row>
    <row r="219" spans="1:9" x14ac:dyDescent="0.2">
      <c r="A219" t="s">
        <v>1441</v>
      </c>
      <c r="B219" t="str">
        <f>PPR!A153</f>
        <v>Conducción Fluidos</v>
      </c>
      <c r="C219" t="str">
        <f>PPR!B153</f>
        <v>PP-R</v>
      </c>
      <c r="D219">
        <f>PPR!F153</f>
        <v>339007</v>
      </c>
      <c r="E219" t="str">
        <f>PPR!G153</f>
        <v>PPR FT TEE HE R.MET 32 1' I</v>
      </c>
      <c r="F219">
        <f>PPR!H153</f>
        <v>4</v>
      </c>
      <c r="G219" t="str">
        <f>PPR!I153</f>
        <v>Bolsa</v>
      </c>
      <c r="H219">
        <f>IFERROR(IF(PPR!J153="",0,PPR!J153),0)</f>
        <v>0</v>
      </c>
      <c r="I219" s="58" t="str">
        <f>IF(H219&gt;0, MAX(I$1:I218)+1, "")</f>
        <v/>
      </c>
    </row>
    <row r="220" spans="1:9" x14ac:dyDescent="0.2">
      <c r="A220" t="s">
        <v>1441</v>
      </c>
      <c r="B220" t="str">
        <f>PPR!A154</f>
        <v>Conducción Fluidos</v>
      </c>
      <c r="C220" t="str">
        <f>PPR!B154</f>
        <v>PP-R</v>
      </c>
      <c r="D220">
        <f>PPR!F154</f>
        <v>333702</v>
      </c>
      <c r="E220" t="str">
        <f>PPR!G154</f>
        <v>PPR FT TEE HI R.MET 20 1/2' I</v>
      </c>
      <c r="F220">
        <f>PPR!H154</f>
        <v>10</v>
      </c>
      <c r="G220" t="str">
        <f>PPR!I154</f>
        <v>Bolsa</v>
      </c>
      <c r="H220">
        <f>IFERROR(IF(PPR!J154="",0,PPR!J154),0)</f>
        <v>0</v>
      </c>
      <c r="I220" s="58" t="str">
        <f>IF(H220&gt;0, MAX(I$1:I219)+1, "")</f>
        <v/>
      </c>
    </row>
    <row r="221" spans="1:9" x14ac:dyDescent="0.2">
      <c r="A221" t="s">
        <v>1441</v>
      </c>
      <c r="B221" t="str">
        <f>PPR!A155</f>
        <v>Conducción Fluidos</v>
      </c>
      <c r="C221" t="str">
        <f>PPR!B155</f>
        <v>PP-R</v>
      </c>
      <c r="D221">
        <f>PPR!F155</f>
        <v>333706</v>
      </c>
      <c r="E221" t="str">
        <f>PPR!G155</f>
        <v>PPR FT TEE HI R.MET 20 3/4' I</v>
      </c>
      <c r="F221">
        <f>PPR!H155</f>
        <v>10</v>
      </c>
      <c r="G221" t="str">
        <f>PPR!I155</f>
        <v>Bolsa</v>
      </c>
      <c r="H221">
        <f>IFERROR(IF(PPR!J155="",0,PPR!J155),0)</f>
        <v>0</v>
      </c>
      <c r="I221" s="58" t="str">
        <f>IF(H221&gt;0, MAX(I$1:I220)+1, "")</f>
        <v/>
      </c>
    </row>
    <row r="222" spans="1:9" x14ac:dyDescent="0.2">
      <c r="A222" t="s">
        <v>1441</v>
      </c>
      <c r="B222" t="str">
        <f>PPR!A156</f>
        <v>Conducción Fluidos</v>
      </c>
      <c r="C222" t="str">
        <f>PPR!B156</f>
        <v>PP-R</v>
      </c>
      <c r="D222">
        <f>PPR!F156</f>
        <v>333703</v>
      </c>
      <c r="E222" t="str">
        <f>PPR!G156</f>
        <v>PPR FT TEE HI R.MET 25 1/2' I</v>
      </c>
      <c r="F222">
        <f>PPR!H156</f>
        <v>10</v>
      </c>
      <c r="G222" t="str">
        <f>PPR!I156</f>
        <v>Bolsa</v>
      </c>
      <c r="H222">
        <f>IFERROR(IF(PPR!J156="",0,PPR!J156),0)</f>
        <v>0</v>
      </c>
      <c r="I222" s="58" t="str">
        <f>IF(H222&gt;0, MAX(I$1:I221)+1, "")</f>
        <v/>
      </c>
    </row>
    <row r="223" spans="1:9" x14ac:dyDescent="0.2">
      <c r="A223" t="s">
        <v>1441</v>
      </c>
      <c r="B223" t="str">
        <f>PPR!A157</f>
        <v>Conducción Fluidos</v>
      </c>
      <c r="C223" t="str">
        <f>PPR!B157</f>
        <v>PP-R</v>
      </c>
      <c r="D223">
        <f>PPR!F157</f>
        <v>333704</v>
      </c>
      <c r="E223" t="str">
        <f>PPR!G157</f>
        <v>PPR FT TEE HI R.MET 25 3/4' I</v>
      </c>
      <c r="F223">
        <f>PPR!H157</f>
        <v>10</v>
      </c>
      <c r="G223" t="str">
        <f>PPR!I157</f>
        <v>Bolsa</v>
      </c>
      <c r="H223">
        <f>IFERROR(IF(PPR!J157="",0,PPR!J157),0)</f>
        <v>0</v>
      </c>
      <c r="I223" s="58" t="str">
        <f>IF(H223&gt;0, MAX(I$1:I222)+1, "")</f>
        <v/>
      </c>
    </row>
    <row r="224" spans="1:9" x14ac:dyDescent="0.2">
      <c r="A224" t="s">
        <v>1441</v>
      </c>
      <c r="B224" t="str">
        <f>PPR!A158</f>
        <v>Conducción Fluidos</v>
      </c>
      <c r="C224" t="str">
        <f>PPR!B158</f>
        <v>PP-R</v>
      </c>
      <c r="D224">
        <f>PPR!F158</f>
        <v>333707</v>
      </c>
      <c r="E224" t="str">
        <f>PPR!G158</f>
        <v>PPR FT TEE HI R.MET 32 1/2' I</v>
      </c>
      <c r="F224">
        <f>PPR!H158</f>
        <v>5</v>
      </c>
      <c r="G224" t="str">
        <f>PPR!I158</f>
        <v>Bolsa</v>
      </c>
      <c r="H224">
        <f>IFERROR(IF(PPR!J158="",0,PPR!J158),0)</f>
        <v>0</v>
      </c>
      <c r="I224" s="58" t="str">
        <f>IF(H224&gt;0, MAX(I$1:I223)+1, "")</f>
        <v/>
      </c>
    </row>
    <row r="225" spans="1:9" x14ac:dyDescent="0.2">
      <c r="A225" t="s">
        <v>1441</v>
      </c>
      <c r="B225" t="str">
        <f>PPR!A159</f>
        <v>Conducción Fluidos</v>
      </c>
      <c r="C225" t="str">
        <f>PPR!B159</f>
        <v>PP-R</v>
      </c>
      <c r="D225">
        <f>PPR!F159</f>
        <v>333708</v>
      </c>
      <c r="E225" t="str">
        <f>PPR!G159</f>
        <v>PPR FT TEE HI R.MET 32 3/4' I</v>
      </c>
      <c r="F225">
        <f>PPR!H159</f>
        <v>10</v>
      </c>
      <c r="G225" t="str">
        <f>PPR!I159</f>
        <v>Bolsa</v>
      </c>
      <c r="H225">
        <f>IFERROR(IF(PPR!J159="",0,PPR!J159),0)</f>
        <v>0</v>
      </c>
      <c r="I225" s="58" t="str">
        <f>IF(H225&gt;0, MAX(I$1:I224)+1, "")</f>
        <v/>
      </c>
    </row>
    <row r="226" spans="1:9" x14ac:dyDescent="0.2">
      <c r="A226" t="s">
        <v>1441</v>
      </c>
      <c r="B226" t="str">
        <f>PPR!A160</f>
        <v>Conducción Fluidos</v>
      </c>
      <c r="C226" t="str">
        <f>PPR!B160</f>
        <v>PP-R</v>
      </c>
      <c r="D226">
        <f>PPR!F160</f>
        <v>333705</v>
      </c>
      <c r="E226" t="str">
        <f>PPR!G160</f>
        <v>PPR FT TEE HI R.MET 32 1' I</v>
      </c>
      <c r="F226">
        <f>PPR!H160</f>
        <v>10</v>
      </c>
      <c r="G226" t="str">
        <f>PPR!I160</f>
        <v>Bolsa</v>
      </c>
      <c r="H226">
        <f>IFERROR(IF(PPR!J160="",0,PPR!J160),0)</f>
        <v>0</v>
      </c>
      <c r="I226" s="58" t="str">
        <f>IF(H226&gt;0, MAX(I$1:I225)+1, "")</f>
        <v/>
      </c>
    </row>
    <row r="227" spans="1:9" x14ac:dyDescent="0.2">
      <c r="A227" t="s">
        <v>1441</v>
      </c>
      <c r="B227" t="str">
        <f>PPR!A161</f>
        <v>Conducción Fluidos</v>
      </c>
      <c r="C227" t="str">
        <f>PPR!B161</f>
        <v>PP-R</v>
      </c>
      <c r="D227">
        <f>PPR!F161</f>
        <v>35003</v>
      </c>
      <c r="E227" t="str">
        <f>PPR!G161</f>
        <v>PPR FT BUJE RED 25 x 20 N</v>
      </c>
      <c r="F227">
        <f>PPR!H161</f>
        <v>20</v>
      </c>
      <c r="G227" t="str">
        <f>PPR!I161</f>
        <v>Bolsa</v>
      </c>
      <c r="H227">
        <f>IFERROR(IF(PPR!J161="",0,PPR!J161),0)</f>
        <v>0</v>
      </c>
      <c r="I227" s="58" t="str">
        <f>IF(H227&gt;0, MAX(I$1:I226)+1, "")</f>
        <v/>
      </c>
    </row>
    <row r="228" spans="1:9" x14ac:dyDescent="0.2">
      <c r="A228" t="s">
        <v>1441</v>
      </c>
      <c r="B228" t="str">
        <f>PPR!A162</f>
        <v>Conducción Fluidos</v>
      </c>
      <c r="C228" t="str">
        <f>PPR!B162</f>
        <v>PP-R</v>
      </c>
      <c r="D228">
        <f>PPR!F162</f>
        <v>35005</v>
      </c>
      <c r="E228" t="str">
        <f>PPR!G162</f>
        <v>PPR FT BUJE RED 32 x 20 N</v>
      </c>
      <c r="F228">
        <f>PPR!H162</f>
        <v>20</v>
      </c>
      <c r="G228" t="str">
        <f>PPR!I162</f>
        <v>Bolsa</v>
      </c>
      <c r="H228">
        <f>IFERROR(IF(PPR!J162="",0,PPR!J162),0)</f>
        <v>0</v>
      </c>
      <c r="I228" s="58" t="str">
        <f>IF(H228&gt;0, MAX(I$1:I227)+1, "")</f>
        <v/>
      </c>
    </row>
    <row r="229" spans="1:9" x14ac:dyDescent="0.2">
      <c r="A229" t="s">
        <v>1441</v>
      </c>
      <c r="B229" t="str">
        <f>PPR!A163</f>
        <v>Conducción Fluidos</v>
      </c>
      <c r="C229" t="str">
        <f>PPR!B163</f>
        <v>PP-R</v>
      </c>
      <c r="D229">
        <f>PPR!F163</f>
        <v>35006</v>
      </c>
      <c r="E229" t="str">
        <f>PPR!G163</f>
        <v>PPR FT BUJE RED 32 x 25 N</v>
      </c>
      <c r="F229">
        <f>PPR!H163</f>
        <v>15</v>
      </c>
      <c r="G229" t="str">
        <f>PPR!I163</f>
        <v>Bolsa</v>
      </c>
      <c r="H229">
        <f>IFERROR(IF(PPR!J163="",0,PPR!J163),0)</f>
        <v>0</v>
      </c>
      <c r="I229" s="58" t="str">
        <f>IF(H229&gt;0, MAX(I$1:I228)+1, "")</f>
        <v/>
      </c>
    </row>
    <row r="230" spans="1:9" x14ac:dyDescent="0.2">
      <c r="A230" t="s">
        <v>1441</v>
      </c>
      <c r="B230" t="str">
        <f>PPR!A164</f>
        <v>Conducción Fluidos</v>
      </c>
      <c r="C230" t="str">
        <f>PPR!B164</f>
        <v>PP-R</v>
      </c>
      <c r="D230">
        <f>PPR!F164</f>
        <v>35007</v>
      </c>
      <c r="E230" t="str">
        <f>PPR!G164</f>
        <v>PPR FT BUJE RED 40 x 20 N</v>
      </c>
      <c r="F230">
        <f>PPR!H164</f>
        <v>10</v>
      </c>
      <c r="G230" t="str">
        <f>PPR!I164</f>
        <v>Bolsa</v>
      </c>
      <c r="H230">
        <f>IFERROR(IF(PPR!J164="",0,PPR!J164),0)</f>
        <v>0</v>
      </c>
      <c r="I230" s="58" t="str">
        <f>IF(H230&gt;0, MAX(I$1:I229)+1, "")</f>
        <v/>
      </c>
    </row>
    <row r="231" spans="1:9" x14ac:dyDescent="0.2">
      <c r="A231" t="s">
        <v>1441</v>
      </c>
      <c r="B231" t="str">
        <f>PPR!A165</f>
        <v>Conducción Fluidos</v>
      </c>
      <c r="C231" t="str">
        <f>PPR!B165</f>
        <v>PP-R</v>
      </c>
      <c r="D231">
        <f>PPR!F165</f>
        <v>35008</v>
      </c>
      <c r="E231" t="str">
        <f>PPR!G165</f>
        <v>PPR FT BUJE RED 40 x 25 N</v>
      </c>
      <c r="F231">
        <f>PPR!H165</f>
        <v>10</v>
      </c>
      <c r="G231" t="str">
        <f>PPR!I165</f>
        <v>Bolsa</v>
      </c>
      <c r="H231">
        <f>IFERROR(IF(PPR!J165="",0,PPR!J165),0)</f>
        <v>0</v>
      </c>
      <c r="I231" s="58" t="str">
        <f>IF(H231&gt;0, MAX(I$1:I230)+1, "")</f>
        <v/>
      </c>
    </row>
    <row r="232" spans="1:9" x14ac:dyDescent="0.2">
      <c r="A232" t="s">
        <v>1441</v>
      </c>
      <c r="B232" t="str">
        <f>PPR!A166</f>
        <v>Conducción Fluidos</v>
      </c>
      <c r="C232" t="str">
        <f>PPR!B166</f>
        <v>PP-R</v>
      </c>
      <c r="D232">
        <f>PPR!F166</f>
        <v>35009</v>
      </c>
      <c r="E232" t="str">
        <f>PPR!G166</f>
        <v>PPR FT BUJE RED 40 x 32 N</v>
      </c>
      <c r="F232">
        <f>PPR!H166</f>
        <v>10</v>
      </c>
      <c r="G232" t="str">
        <f>PPR!I166</f>
        <v>Bolsa</v>
      </c>
      <c r="H232">
        <f>IFERROR(IF(PPR!J166="",0,PPR!J166),0)</f>
        <v>0</v>
      </c>
      <c r="I232" s="58" t="str">
        <f>IF(H232&gt;0, MAX(I$1:I231)+1, "")</f>
        <v/>
      </c>
    </row>
    <row r="233" spans="1:9" x14ac:dyDescent="0.2">
      <c r="A233" t="s">
        <v>1441</v>
      </c>
      <c r="B233" t="str">
        <f>PPR!A167</f>
        <v>Conducción Fluidos</v>
      </c>
      <c r="C233" t="str">
        <f>PPR!B167</f>
        <v>PP-R</v>
      </c>
      <c r="D233">
        <f>PPR!F167</f>
        <v>35010</v>
      </c>
      <c r="E233" t="str">
        <f>PPR!G167</f>
        <v>PPR FT BUJE RED 50 x 20 N</v>
      </c>
      <c r="F233">
        <f>PPR!H167</f>
        <v>10</v>
      </c>
      <c r="G233" t="str">
        <f>PPR!I167</f>
        <v>Bolsa</v>
      </c>
      <c r="H233">
        <f>IFERROR(IF(PPR!J167="",0,PPR!J167),0)</f>
        <v>0</v>
      </c>
      <c r="I233" s="58" t="str">
        <f>IF(H233&gt;0, MAX(I$1:I232)+1, "")</f>
        <v/>
      </c>
    </row>
    <row r="234" spans="1:9" x14ac:dyDescent="0.2">
      <c r="A234" t="s">
        <v>1441</v>
      </c>
      <c r="B234" t="str">
        <f>PPR!A168</f>
        <v>Conducción Fluidos</v>
      </c>
      <c r="C234" t="str">
        <f>PPR!B168</f>
        <v>PP-R</v>
      </c>
      <c r="D234">
        <f>PPR!F168</f>
        <v>35011</v>
      </c>
      <c r="E234" t="str">
        <f>PPR!G168</f>
        <v>PPR FT BUJE RED 50 x 25 N</v>
      </c>
      <c r="F234">
        <f>PPR!H168</f>
        <v>10</v>
      </c>
      <c r="G234" t="str">
        <f>PPR!I168</f>
        <v>Bolsa</v>
      </c>
      <c r="H234">
        <f>IFERROR(IF(PPR!J168="",0,PPR!J168),0)</f>
        <v>0</v>
      </c>
      <c r="I234" s="58" t="str">
        <f>IF(H234&gt;0, MAX(I$1:I233)+1, "")</f>
        <v/>
      </c>
    </row>
    <row r="235" spans="1:9" x14ac:dyDescent="0.2">
      <c r="A235" t="s">
        <v>1441</v>
      </c>
      <c r="B235" t="str">
        <f>PPR!A169</f>
        <v>Conducción Fluidos</v>
      </c>
      <c r="C235" t="str">
        <f>PPR!B169</f>
        <v>PP-R</v>
      </c>
      <c r="D235">
        <f>PPR!F169</f>
        <v>35012</v>
      </c>
      <c r="E235" t="str">
        <f>PPR!G169</f>
        <v>PPR FT BUJE RED 50 x 32 N</v>
      </c>
      <c r="F235">
        <f>PPR!H169</f>
        <v>10</v>
      </c>
      <c r="G235" t="str">
        <f>PPR!I169</f>
        <v>Bolsa</v>
      </c>
      <c r="H235">
        <f>IFERROR(IF(PPR!J169="",0,PPR!J169),0)</f>
        <v>0</v>
      </c>
      <c r="I235" s="58" t="str">
        <f>IF(H235&gt;0, MAX(I$1:I234)+1, "")</f>
        <v/>
      </c>
    </row>
    <row r="236" spans="1:9" x14ac:dyDescent="0.2">
      <c r="A236" t="s">
        <v>1441</v>
      </c>
      <c r="B236" t="str">
        <f>PPR!A170</f>
        <v>Conducción Fluidos</v>
      </c>
      <c r="C236" t="str">
        <f>PPR!B170</f>
        <v>PP-R</v>
      </c>
      <c r="D236">
        <f>PPR!F170</f>
        <v>35013</v>
      </c>
      <c r="E236" t="str">
        <f>PPR!G170</f>
        <v>PPR FT BUJE RED 50 x 40 N</v>
      </c>
      <c r="F236">
        <f>PPR!H170</f>
        <v>10</v>
      </c>
      <c r="G236" t="str">
        <f>PPR!I170</f>
        <v>Bolsa</v>
      </c>
      <c r="H236">
        <f>IFERROR(IF(PPR!J170="",0,PPR!J170),0)</f>
        <v>0</v>
      </c>
      <c r="I236" s="58" t="str">
        <f>IF(H236&gt;0, MAX(I$1:I235)+1, "")</f>
        <v/>
      </c>
    </row>
    <row r="237" spans="1:9" x14ac:dyDescent="0.2">
      <c r="A237" t="s">
        <v>1441</v>
      </c>
      <c r="B237" t="str">
        <f>PPR!A171</f>
        <v>Conducción Fluidos</v>
      </c>
      <c r="C237" t="str">
        <f>PPR!B171</f>
        <v>PP-R</v>
      </c>
      <c r="D237">
        <f>PPR!F171</f>
        <v>35014</v>
      </c>
      <c r="E237" t="str">
        <f>PPR!G171</f>
        <v>PPR FT BUJE RED 63 x 20 N</v>
      </c>
      <c r="F237">
        <f>PPR!H171</f>
        <v>1</v>
      </c>
      <c r="G237" t="str">
        <f>PPR!I171</f>
        <v>Bolsa</v>
      </c>
      <c r="H237">
        <f>IFERROR(IF(PPR!J171="",0,PPR!J171),0)</f>
        <v>0</v>
      </c>
      <c r="I237" s="58" t="str">
        <f>IF(H237&gt;0, MAX(I$1:I236)+1, "")</f>
        <v/>
      </c>
    </row>
    <row r="238" spans="1:9" x14ac:dyDescent="0.2">
      <c r="A238" t="s">
        <v>1441</v>
      </c>
      <c r="B238" t="str">
        <f>PPR!A172</f>
        <v>Conducción Fluidos</v>
      </c>
      <c r="C238" t="str">
        <f>PPR!B172</f>
        <v>PP-R</v>
      </c>
      <c r="D238">
        <f>PPR!F172</f>
        <v>35015</v>
      </c>
      <c r="E238" t="str">
        <f>PPR!G172</f>
        <v>PPR FT BUJE RED 63 x 25 N</v>
      </c>
      <c r="F238">
        <f>PPR!H172</f>
        <v>1</v>
      </c>
      <c r="G238" t="str">
        <f>PPR!I172</f>
        <v>Bolsa</v>
      </c>
      <c r="H238">
        <f>IFERROR(IF(PPR!J172="",0,PPR!J172),0)</f>
        <v>0</v>
      </c>
      <c r="I238" s="58" t="str">
        <f>IF(H238&gt;0, MAX(I$1:I237)+1, "")</f>
        <v/>
      </c>
    </row>
    <row r="239" spans="1:9" x14ac:dyDescent="0.2">
      <c r="A239" t="s">
        <v>1441</v>
      </c>
      <c r="B239" t="str">
        <f>PPR!A173</f>
        <v>Conducción Fluidos</v>
      </c>
      <c r="C239" t="str">
        <f>PPR!B173</f>
        <v>PP-R</v>
      </c>
      <c r="D239">
        <f>PPR!F173</f>
        <v>35016</v>
      </c>
      <c r="E239" t="str">
        <f>PPR!G173</f>
        <v>PPR FT BUJE RED 63 x 32 N</v>
      </c>
      <c r="F239">
        <f>PPR!H173</f>
        <v>1</v>
      </c>
      <c r="G239" t="str">
        <f>PPR!I173</f>
        <v>Bolsa</v>
      </c>
      <c r="H239">
        <f>IFERROR(IF(PPR!J173="",0,PPR!J173),0)</f>
        <v>0</v>
      </c>
      <c r="I239" s="58" t="str">
        <f>IF(H239&gt;0, MAX(I$1:I238)+1, "")</f>
        <v/>
      </c>
    </row>
    <row r="240" spans="1:9" x14ac:dyDescent="0.2">
      <c r="A240" t="s">
        <v>1441</v>
      </c>
      <c r="B240" t="str">
        <f>PPR!A174</f>
        <v>Conducción Fluidos</v>
      </c>
      <c r="C240" t="str">
        <f>PPR!B174</f>
        <v>PP-R</v>
      </c>
      <c r="D240">
        <f>PPR!F174</f>
        <v>35017</v>
      </c>
      <c r="E240" t="str">
        <f>PPR!G174</f>
        <v>PPR FT BUJE RED 63 x 40 N</v>
      </c>
      <c r="F240">
        <f>PPR!H174</f>
        <v>1</v>
      </c>
      <c r="G240" t="str">
        <f>PPR!I174</f>
        <v>Bolsa</v>
      </c>
      <c r="H240">
        <f>IFERROR(IF(PPR!J174="",0,PPR!J174),0)</f>
        <v>0</v>
      </c>
      <c r="I240" s="58" t="str">
        <f>IF(H240&gt;0, MAX(I$1:I239)+1, "")</f>
        <v/>
      </c>
    </row>
    <row r="241" spans="1:9" x14ac:dyDescent="0.2">
      <c r="A241" t="s">
        <v>1441</v>
      </c>
      <c r="B241" t="str">
        <f>PPR!A175</f>
        <v>Conducción Fluidos</v>
      </c>
      <c r="C241" t="str">
        <f>PPR!B175</f>
        <v>PP-R</v>
      </c>
      <c r="D241">
        <f>PPR!F175</f>
        <v>35018</v>
      </c>
      <c r="E241" t="str">
        <f>PPR!G175</f>
        <v>PPR FT BUJE RED 63 x 50 N</v>
      </c>
      <c r="F241">
        <f>PPR!H175</f>
        <v>1</v>
      </c>
      <c r="G241" t="str">
        <f>PPR!I175</f>
        <v>Bolsa</v>
      </c>
      <c r="H241">
        <f>IFERROR(IF(PPR!J175="",0,PPR!J175),0)</f>
        <v>0</v>
      </c>
      <c r="I241" s="58" t="str">
        <f>IF(H241&gt;0, MAX(I$1:I240)+1, "")</f>
        <v/>
      </c>
    </row>
    <row r="242" spans="1:9" x14ac:dyDescent="0.2">
      <c r="A242" t="s">
        <v>1441</v>
      </c>
      <c r="B242" t="str">
        <f>PPR!A176</f>
        <v>Conducción Fluidos</v>
      </c>
      <c r="C242" t="str">
        <f>PPR!B176</f>
        <v>PP-R</v>
      </c>
      <c r="D242">
        <f>PPR!F176</f>
        <v>35019</v>
      </c>
      <c r="E242" t="str">
        <f>PPR!G176</f>
        <v>PPR FT BUJE RED 75 x 32 N</v>
      </c>
      <c r="F242">
        <f>PPR!H176</f>
        <v>1</v>
      </c>
      <c r="G242" t="str">
        <f>PPR!I176</f>
        <v>Unitario</v>
      </c>
      <c r="H242">
        <f>IFERROR(IF(PPR!J176="",0,PPR!J176),0)</f>
        <v>0</v>
      </c>
      <c r="I242" s="58" t="str">
        <f>IF(H242&gt;0, MAX(I$1:I241)+1, "")</f>
        <v/>
      </c>
    </row>
    <row r="243" spans="1:9" x14ac:dyDescent="0.2">
      <c r="A243" t="s">
        <v>1441</v>
      </c>
      <c r="B243" t="str">
        <f>PPR!A177</f>
        <v>Conducción Fluidos</v>
      </c>
      <c r="C243" t="str">
        <f>PPR!B177</f>
        <v>PP-R</v>
      </c>
      <c r="D243">
        <f>PPR!F177</f>
        <v>35020</v>
      </c>
      <c r="E243" t="str">
        <f>PPR!G177</f>
        <v>PPR FT BUJE RED 75 x 40 N</v>
      </c>
      <c r="F243">
        <f>PPR!H177</f>
        <v>1</v>
      </c>
      <c r="G243" t="str">
        <f>PPR!I177</f>
        <v>Bolsa</v>
      </c>
      <c r="H243">
        <f>IFERROR(IF(PPR!J177="",0,PPR!J177),0)</f>
        <v>0</v>
      </c>
      <c r="I243" s="58" t="str">
        <f>IF(H243&gt;0, MAX(I$1:I242)+1, "")</f>
        <v/>
      </c>
    </row>
    <row r="244" spans="1:9" x14ac:dyDescent="0.2">
      <c r="A244" t="s">
        <v>1441</v>
      </c>
      <c r="B244" t="str">
        <f>PPR!A178</f>
        <v>Conducción Fluidos</v>
      </c>
      <c r="C244" t="str">
        <f>PPR!B178</f>
        <v>PP-R</v>
      </c>
      <c r="D244">
        <f>PPR!F178</f>
        <v>35021</v>
      </c>
      <c r="E244" t="str">
        <f>PPR!G178</f>
        <v>PPR FT BUJE RED 75 x 50 N</v>
      </c>
      <c r="F244">
        <f>PPR!H178</f>
        <v>1</v>
      </c>
      <c r="G244" t="str">
        <f>PPR!I178</f>
        <v>Bolsa</v>
      </c>
      <c r="H244">
        <f>IFERROR(IF(PPR!J178="",0,PPR!J178),0)</f>
        <v>0</v>
      </c>
      <c r="I244" s="58" t="str">
        <f>IF(H244&gt;0, MAX(I$1:I243)+1, "")</f>
        <v/>
      </c>
    </row>
    <row r="245" spans="1:9" x14ac:dyDescent="0.2">
      <c r="A245" t="s">
        <v>1441</v>
      </c>
      <c r="B245" t="str">
        <f>PPR!A179</f>
        <v>Conducción Fluidos</v>
      </c>
      <c r="C245" t="str">
        <f>PPR!B179</f>
        <v>PP-R</v>
      </c>
      <c r="D245">
        <f>PPR!F179</f>
        <v>35022</v>
      </c>
      <c r="E245" t="str">
        <f>PPR!G179</f>
        <v>PPR FT BUJE RED 75 x 63 N</v>
      </c>
      <c r="F245">
        <f>PPR!H179</f>
        <v>1</v>
      </c>
      <c r="G245" t="str">
        <f>PPR!I179</f>
        <v>Bolsa</v>
      </c>
      <c r="H245">
        <f>IFERROR(IF(PPR!J179="",0,PPR!J179),0)</f>
        <v>0</v>
      </c>
      <c r="I245" s="58" t="str">
        <f>IF(H245&gt;0, MAX(I$1:I244)+1, "")</f>
        <v/>
      </c>
    </row>
    <row r="246" spans="1:9" x14ac:dyDescent="0.2">
      <c r="A246" t="s">
        <v>1441</v>
      </c>
      <c r="B246" t="str">
        <f>PPR!A180</f>
        <v>Conducción Fluidos</v>
      </c>
      <c r="C246" t="str">
        <f>PPR!B180</f>
        <v>PP-R</v>
      </c>
      <c r="D246">
        <f>PPR!F180</f>
        <v>35023</v>
      </c>
      <c r="E246" t="str">
        <f>PPR!G180</f>
        <v>PPR FT BUJE RED 90 x 40 N</v>
      </c>
      <c r="F246">
        <f>PPR!H180</f>
        <v>1</v>
      </c>
      <c r="G246" t="str">
        <f>PPR!I180</f>
        <v>Bolsa</v>
      </c>
      <c r="H246">
        <f>IFERROR(IF(PPR!J180="",0,PPR!J180),0)</f>
        <v>0</v>
      </c>
      <c r="I246" s="58" t="str">
        <f>IF(H246&gt;0, MAX(I$1:I245)+1, "")</f>
        <v/>
      </c>
    </row>
    <row r="247" spans="1:9" x14ac:dyDescent="0.2">
      <c r="A247" t="s">
        <v>1441</v>
      </c>
      <c r="B247" t="str">
        <f>PPR!A181</f>
        <v>Conducción Fluidos</v>
      </c>
      <c r="C247" t="str">
        <f>PPR!B181</f>
        <v>PP-R</v>
      </c>
      <c r="D247">
        <f>PPR!F181</f>
        <v>35024</v>
      </c>
      <c r="E247" t="str">
        <f>PPR!G181</f>
        <v>PPR FT BUJE RED 90 x 50 N</v>
      </c>
      <c r="F247">
        <f>PPR!H181</f>
        <v>1</v>
      </c>
      <c r="G247" t="str">
        <f>PPR!I181</f>
        <v>Bolsa</v>
      </c>
      <c r="H247">
        <f>IFERROR(IF(PPR!J181="",0,PPR!J181),0)</f>
        <v>0</v>
      </c>
      <c r="I247" s="58" t="str">
        <f>IF(H247&gt;0, MAX(I$1:I246)+1, "")</f>
        <v/>
      </c>
    </row>
    <row r="248" spans="1:9" x14ac:dyDescent="0.2">
      <c r="A248" t="s">
        <v>1441</v>
      </c>
      <c r="B248" t="str">
        <f>PPR!A182</f>
        <v>Conducción Fluidos</v>
      </c>
      <c r="C248" t="str">
        <f>PPR!B182</f>
        <v>PP-R</v>
      </c>
      <c r="D248">
        <f>PPR!F182</f>
        <v>35025</v>
      </c>
      <c r="E248" t="str">
        <f>PPR!G182</f>
        <v>PPR FT BUJE RED 90 x 63 N</v>
      </c>
      <c r="F248">
        <f>PPR!H182</f>
        <v>1</v>
      </c>
      <c r="G248" t="str">
        <f>PPR!I182</f>
        <v>Bolsa</v>
      </c>
      <c r="H248">
        <f>IFERROR(IF(PPR!J182="",0,PPR!J182),0)</f>
        <v>0</v>
      </c>
      <c r="I248" s="58" t="str">
        <f>IF(H248&gt;0, MAX(I$1:I247)+1, "")</f>
        <v/>
      </c>
    </row>
    <row r="249" spans="1:9" x14ac:dyDescent="0.2">
      <c r="A249" t="s">
        <v>1441</v>
      </c>
      <c r="B249" t="str">
        <f>PPR!A183</f>
        <v>Conducción Fluidos</v>
      </c>
      <c r="C249" t="str">
        <f>PPR!B183</f>
        <v>PP-R</v>
      </c>
      <c r="D249">
        <f>PPR!F183</f>
        <v>35026</v>
      </c>
      <c r="E249" t="str">
        <f>PPR!G183</f>
        <v>PPR FT BUJE RED 90 x 75 N</v>
      </c>
      <c r="F249">
        <f>PPR!H183</f>
        <v>1</v>
      </c>
      <c r="G249" t="str">
        <f>PPR!I183</f>
        <v>Bolsa</v>
      </c>
      <c r="H249">
        <f>IFERROR(IF(PPR!J183="",0,PPR!J183),0)</f>
        <v>0</v>
      </c>
      <c r="I249" s="58" t="str">
        <f>IF(H249&gt;0, MAX(I$1:I248)+1, "")</f>
        <v/>
      </c>
    </row>
    <row r="250" spans="1:9" x14ac:dyDescent="0.2">
      <c r="A250" t="s">
        <v>1441</v>
      </c>
      <c r="B250" t="str">
        <f>PPR!A184</f>
        <v>Conducción Fluidos</v>
      </c>
      <c r="C250" t="str">
        <f>PPR!B184</f>
        <v>PP-R</v>
      </c>
      <c r="D250">
        <f>PPR!F184</f>
        <v>35027</v>
      </c>
      <c r="E250" t="str">
        <f>PPR!G184</f>
        <v>PPR FT BUJE RED 110 x 40 N</v>
      </c>
      <c r="F250">
        <f>PPR!H184</f>
        <v>1</v>
      </c>
      <c r="G250" t="str">
        <f>PPR!I184</f>
        <v>Bolsa</v>
      </c>
      <c r="H250">
        <f>IFERROR(IF(PPR!J184="",0,PPR!J184),0)</f>
        <v>0</v>
      </c>
      <c r="I250" s="58" t="str">
        <f>IF(H250&gt;0, MAX(I$1:I249)+1, "")</f>
        <v/>
      </c>
    </row>
    <row r="251" spans="1:9" x14ac:dyDescent="0.2">
      <c r="A251" t="s">
        <v>1441</v>
      </c>
      <c r="B251" t="str">
        <f>PPR!A185</f>
        <v>Conducción Fluidos</v>
      </c>
      <c r="C251" t="str">
        <f>PPR!B185</f>
        <v>PP-R</v>
      </c>
      <c r="D251">
        <f>PPR!F185</f>
        <v>35028</v>
      </c>
      <c r="E251" t="str">
        <f>PPR!G185</f>
        <v>PPR FT BUJE RED 110 x 50 N</v>
      </c>
      <c r="F251">
        <f>PPR!H185</f>
        <v>1</v>
      </c>
      <c r="G251" t="str">
        <f>PPR!I185</f>
        <v>Bolsa</v>
      </c>
      <c r="H251">
        <f>IFERROR(IF(PPR!J185="",0,PPR!J185),0)</f>
        <v>0</v>
      </c>
      <c r="I251" s="58" t="str">
        <f>IF(H251&gt;0, MAX(I$1:I250)+1, "")</f>
        <v/>
      </c>
    </row>
    <row r="252" spans="1:9" x14ac:dyDescent="0.2">
      <c r="A252" t="s">
        <v>1441</v>
      </c>
      <c r="B252" t="str">
        <f>PPR!A186</f>
        <v>Conducción Fluidos</v>
      </c>
      <c r="C252" t="str">
        <f>PPR!B186</f>
        <v>PP-R</v>
      </c>
      <c r="D252">
        <f>PPR!F186</f>
        <v>35029</v>
      </c>
      <c r="E252" t="str">
        <f>PPR!G186</f>
        <v>PPR FT BUJE RED 110 x 63 N</v>
      </c>
      <c r="F252">
        <f>PPR!H186</f>
        <v>1</v>
      </c>
      <c r="G252" t="str">
        <f>PPR!I186</f>
        <v>Bolsa</v>
      </c>
      <c r="H252">
        <f>IFERROR(IF(PPR!J186="",0,PPR!J186),0)</f>
        <v>0</v>
      </c>
      <c r="I252" s="58" t="str">
        <f>IF(H252&gt;0, MAX(I$1:I251)+1, "")</f>
        <v/>
      </c>
    </row>
    <row r="253" spans="1:9" x14ac:dyDescent="0.2">
      <c r="A253" t="s">
        <v>1441</v>
      </c>
      <c r="B253" t="str">
        <f>PPR!A187</f>
        <v>Conducción Fluidos</v>
      </c>
      <c r="C253" t="str">
        <f>PPR!B187</f>
        <v>PP-R</v>
      </c>
      <c r="D253">
        <f>PPR!F187</f>
        <v>35030</v>
      </c>
      <c r="E253" t="str">
        <f>PPR!G187</f>
        <v>PPR FT BUJE RED 110 x 75 N</v>
      </c>
      <c r="F253">
        <f>PPR!H187</f>
        <v>1</v>
      </c>
      <c r="G253" t="str">
        <f>PPR!I187</f>
        <v>Bolsa</v>
      </c>
      <c r="H253">
        <f>IFERROR(IF(PPR!J187="",0,PPR!J187),0)</f>
        <v>0</v>
      </c>
      <c r="I253" s="58" t="str">
        <f>IF(H253&gt;0, MAX(I$1:I252)+1, "")</f>
        <v/>
      </c>
    </row>
    <row r="254" spans="1:9" x14ac:dyDescent="0.2">
      <c r="A254" t="s">
        <v>1441</v>
      </c>
      <c r="B254" t="str">
        <f>PPR!A188</f>
        <v>Conducción Fluidos</v>
      </c>
      <c r="C254" t="str">
        <f>PPR!B188</f>
        <v>PP-R</v>
      </c>
      <c r="D254">
        <f>PPR!F188</f>
        <v>35031</v>
      </c>
      <c r="E254" t="str">
        <f>PPR!G188</f>
        <v>PPR FT BUJE RED 110 x 90 N</v>
      </c>
      <c r="F254">
        <f>PPR!H188</f>
        <v>1</v>
      </c>
      <c r="G254" t="str">
        <f>PPR!I188</f>
        <v>Bolsa</v>
      </c>
      <c r="H254">
        <f>IFERROR(IF(PPR!J188="",0,PPR!J188),0)</f>
        <v>0</v>
      </c>
      <c r="I254" s="58" t="str">
        <f>IF(H254&gt;0, MAX(I$1:I253)+1, "")</f>
        <v/>
      </c>
    </row>
    <row r="255" spans="1:9" x14ac:dyDescent="0.2">
      <c r="A255" t="s">
        <v>1441</v>
      </c>
      <c r="B255" t="str">
        <f>PPR!A189</f>
        <v>Conducción Fluidos</v>
      </c>
      <c r="C255" t="str">
        <f>PPR!B189</f>
        <v>PP-R</v>
      </c>
      <c r="D255">
        <f>PPR!F189</f>
        <v>336001</v>
      </c>
      <c r="E255" t="str">
        <f>PPR!G189</f>
        <v>PPR FT UNION AMERICANA FUS.MET 20 I</v>
      </c>
      <c r="F255">
        <f>PPR!H189</f>
        <v>10</v>
      </c>
      <c r="G255" t="str">
        <f>PPR!I189</f>
        <v>Bolsa</v>
      </c>
      <c r="H255">
        <f>IFERROR(IF(PPR!J189="",0,PPR!J189),0)</f>
        <v>0</v>
      </c>
      <c r="I255" s="58" t="str">
        <f>IF(H255&gt;0, MAX(I$1:I254)+1, "")</f>
        <v/>
      </c>
    </row>
    <row r="256" spans="1:9" x14ac:dyDescent="0.2">
      <c r="A256" t="s">
        <v>1441</v>
      </c>
      <c r="B256" t="str">
        <f>PPR!A190</f>
        <v>Conducción Fluidos</v>
      </c>
      <c r="C256" t="str">
        <f>PPR!B190</f>
        <v>PP-R</v>
      </c>
      <c r="D256">
        <f>PPR!F190</f>
        <v>336002</v>
      </c>
      <c r="E256" t="str">
        <f>PPR!G190</f>
        <v>PPR FT UNION AMERICANA FUS.MET 25 I</v>
      </c>
      <c r="F256">
        <f>PPR!H190</f>
        <v>10</v>
      </c>
      <c r="G256" t="str">
        <f>PPR!I190</f>
        <v>Bolsa</v>
      </c>
      <c r="H256">
        <f>IFERROR(IF(PPR!J190="",0,PPR!J190),0)</f>
        <v>0</v>
      </c>
      <c r="I256" s="58" t="str">
        <f>IF(H256&gt;0, MAX(I$1:I255)+1, "")</f>
        <v/>
      </c>
    </row>
    <row r="257" spans="1:9" x14ac:dyDescent="0.2">
      <c r="A257" t="s">
        <v>1441</v>
      </c>
      <c r="B257" t="str">
        <f>PPR!A191</f>
        <v>Conducción Fluidos</v>
      </c>
      <c r="C257" t="str">
        <f>PPR!B191</f>
        <v>PP-R</v>
      </c>
      <c r="D257">
        <f>PPR!F191</f>
        <v>336003</v>
      </c>
      <c r="E257" t="str">
        <f>PPR!G191</f>
        <v>PPR FT UNION AMERICANA FUS.MET 32 I</v>
      </c>
      <c r="F257">
        <f>PPR!H191</f>
        <v>6</v>
      </c>
      <c r="G257" t="str">
        <f>PPR!I191</f>
        <v>Bolsa</v>
      </c>
      <c r="H257">
        <f>IFERROR(IF(PPR!J191="",0,PPR!J191),0)</f>
        <v>0</v>
      </c>
      <c r="I257" s="58" t="str">
        <f>IF(H257&gt;0, MAX(I$1:I256)+1, "")</f>
        <v/>
      </c>
    </row>
    <row r="258" spans="1:9" x14ac:dyDescent="0.2">
      <c r="A258" t="s">
        <v>1441</v>
      </c>
      <c r="B258" t="str">
        <f>PPR!A192</f>
        <v>Conducción Fluidos</v>
      </c>
      <c r="C258" t="str">
        <f>PPR!B192</f>
        <v>PP-R</v>
      </c>
      <c r="D258">
        <f>PPR!F192</f>
        <v>336004</v>
      </c>
      <c r="E258" t="str">
        <f>PPR!G192</f>
        <v>PPR FT U AME.FUS MET 40 I</v>
      </c>
      <c r="F258">
        <f>PPR!H192</f>
        <v>6</v>
      </c>
      <c r="G258" t="str">
        <f>PPR!I192</f>
        <v>Bolsa</v>
      </c>
      <c r="H258">
        <f>IFERROR(IF(PPR!J192="",0,PPR!J192),0)</f>
        <v>0</v>
      </c>
      <c r="I258" s="58" t="str">
        <f>IF(H258&gt;0, MAX(I$1:I257)+1, "")</f>
        <v/>
      </c>
    </row>
    <row r="259" spans="1:9" x14ac:dyDescent="0.2">
      <c r="A259" t="s">
        <v>1441</v>
      </c>
      <c r="B259" t="str">
        <f>PPR!A193</f>
        <v>Conducción Fluidos</v>
      </c>
      <c r="C259" t="str">
        <f>PPR!B193</f>
        <v>PP-R</v>
      </c>
      <c r="D259">
        <f>PPR!F193</f>
        <v>336005</v>
      </c>
      <c r="E259" t="str">
        <f>PPR!G193</f>
        <v>PPR FT U AME.FUS MET 50 I</v>
      </c>
      <c r="F259">
        <f>PPR!H193</f>
        <v>5</v>
      </c>
      <c r="G259" t="str">
        <f>PPR!I193</f>
        <v>Bolsa</v>
      </c>
      <c r="H259">
        <f>IFERROR(IF(PPR!J193="",0,PPR!J193),0)</f>
        <v>0</v>
      </c>
      <c r="I259" s="58" t="str">
        <f>IF(H259&gt;0, MAX(I$1:I258)+1, "")</f>
        <v/>
      </c>
    </row>
    <row r="260" spans="1:9" x14ac:dyDescent="0.2">
      <c r="A260" t="s">
        <v>1441</v>
      </c>
      <c r="B260" t="str">
        <f>PPR!A194</f>
        <v>Conducción Fluidos</v>
      </c>
      <c r="C260" t="str">
        <f>PPR!B194</f>
        <v>PP-R</v>
      </c>
      <c r="D260">
        <f>PPR!F194</f>
        <v>336006</v>
      </c>
      <c r="E260" t="str">
        <f>PPR!G194</f>
        <v>PPR FT U AME.FUS MET 63 I</v>
      </c>
      <c r="F260">
        <f>PPR!H194</f>
        <v>4</v>
      </c>
      <c r="G260" t="str">
        <f>PPR!I194</f>
        <v>Bolsa</v>
      </c>
      <c r="H260">
        <f>IFERROR(IF(PPR!J194="",0,PPR!J194),0)</f>
        <v>0</v>
      </c>
      <c r="I260" s="58" t="str">
        <f>IF(H260&gt;0, MAX(I$1:I259)+1, "")</f>
        <v/>
      </c>
    </row>
    <row r="261" spans="1:9" x14ac:dyDescent="0.2">
      <c r="A261" t="s">
        <v>1441</v>
      </c>
      <c r="B261" t="str">
        <f>PPR!A195</f>
        <v>Conducción Fluidos</v>
      </c>
      <c r="C261" t="str">
        <f>PPR!B195</f>
        <v>PP-R</v>
      </c>
      <c r="D261">
        <f>PPR!F195</f>
        <v>332901</v>
      </c>
      <c r="E261" t="str">
        <f>PPR!G195</f>
        <v>PPR FT UNION AMERICANA HE.MET 20 x 1/2'</v>
      </c>
      <c r="F261">
        <f>PPR!H195</f>
        <v>10</v>
      </c>
      <c r="G261" t="str">
        <f>PPR!I195</f>
        <v>Bolsa</v>
      </c>
      <c r="H261">
        <f>IFERROR(IF(PPR!J195="",0,PPR!J195),0)</f>
        <v>0</v>
      </c>
      <c r="I261" s="58" t="str">
        <f>IF(H261&gt;0, MAX(I$1:I260)+1, "")</f>
        <v/>
      </c>
    </row>
    <row r="262" spans="1:9" x14ac:dyDescent="0.2">
      <c r="A262" t="s">
        <v>1441</v>
      </c>
      <c r="B262" t="str">
        <f>PPR!A196</f>
        <v>Conducción Fluidos</v>
      </c>
      <c r="C262" t="str">
        <f>PPR!B196</f>
        <v>PP-R</v>
      </c>
      <c r="D262">
        <f>PPR!F196</f>
        <v>332902</v>
      </c>
      <c r="E262" t="str">
        <f>PPR!G196</f>
        <v>PPR FT UNION AMERICANA HE.MET 25 x 3/4'</v>
      </c>
      <c r="F262">
        <f>PPR!H196</f>
        <v>9</v>
      </c>
      <c r="G262" t="str">
        <f>PPR!I196</f>
        <v>Bolsa</v>
      </c>
      <c r="H262">
        <f>IFERROR(IF(PPR!J196="",0,PPR!J196),0)</f>
        <v>0</v>
      </c>
      <c r="I262" s="58" t="str">
        <f>IF(H262&gt;0, MAX(I$1:I261)+1, "")</f>
        <v/>
      </c>
    </row>
    <row r="263" spans="1:9" x14ac:dyDescent="0.2">
      <c r="A263" t="s">
        <v>1441</v>
      </c>
      <c r="B263" t="str">
        <f>PPR!A197</f>
        <v>Conducción Fluidos</v>
      </c>
      <c r="C263" t="str">
        <f>PPR!B197</f>
        <v>PP-R</v>
      </c>
      <c r="D263">
        <f>PPR!F197</f>
        <v>332903</v>
      </c>
      <c r="E263" t="str">
        <f>PPR!G197</f>
        <v>PPR FT UNION AMERICANA HE.MET 32 x 1'</v>
      </c>
      <c r="F263">
        <f>PPR!H197</f>
        <v>6</v>
      </c>
      <c r="G263" t="str">
        <f>PPR!I197</f>
        <v>Bolsa</v>
      </c>
      <c r="H263">
        <f>IFERROR(IF(PPR!J197="",0,PPR!J197),0)</f>
        <v>0</v>
      </c>
      <c r="I263" s="58" t="str">
        <f>IF(H263&gt;0, MAX(I$1:I262)+1, "")</f>
        <v/>
      </c>
    </row>
    <row r="264" spans="1:9" x14ac:dyDescent="0.2">
      <c r="A264" t="s">
        <v>1441</v>
      </c>
      <c r="B264" t="str">
        <f>PPR!A198</f>
        <v>Conducción Fluidos</v>
      </c>
      <c r="C264" t="str">
        <f>PPR!B198</f>
        <v>PP-R</v>
      </c>
      <c r="D264">
        <f>PPR!F198</f>
        <v>332904</v>
      </c>
      <c r="E264" t="str">
        <f>PPR!G198</f>
        <v>PPR FT UNION AMERICANA HE.MET 40x 1 1/4'</v>
      </c>
      <c r="F264">
        <f>PPR!H198</f>
        <v>4</v>
      </c>
      <c r="G264" t="str">
        <f>PPR!I198</f>
        <v>Bolsa</v>
      </c>
      <c r="H264">
        <f>IFERROR(IF(PPR!J198="",0,PPR!J198),0)</f>
        <v>0</v>
      </c>
      <c r="I264" s="58" t="str">
        <f>IF(H264&gt;0, MAX(I$1:I263)+1, "")</f>
        <v/>
      </c>
    </row>
    <row r="265" spans="1:9" x14ac:dyDescent="0.2">
      <c r="A265" t="s">
        <v>1441</v>
      </c>
      <c r="B265" t="str">
        <f>PPR!A199</f>
        <v>Conducción Fluidos</v>
      </c>
      <c r="C265" t="str">
        <f>PPR!B199</f>
        <v>PP-R</v>
      </c>
      <c r="D265">
        <f>PPR!F199</f>
        <v>332905</v>
      </c>
      <c r="E265" t="str">
        <f>PPR!G199</f>
        <v>PPR FT UNION AMERICANA HE.MET 50x 1 1/2'</v>
      </c>
      <c r="F265">
        <f>PPR!H199</f>
        <v>4</v>
      </c>
      <c r="G265" t="str">
        <f>PPR!I199</f>
        <v>Bolsa</v>
      </c>
      <c r="H265">
        <f>IFERROR(IF(PPR!J199="",0,PPR!J199),0)</f>
        <v>0</v>
      </c>
      <c r="I265" s="58" t="str">
        <f>IF(H265&gt;0, MAX(I$1:I264)+1, "")</f>
        <v/>
      </c>
    </row>
    <row r="266" spans="1:9" x14ac:dyDescent="0.2">
      <c r="A266" t="s">
        <v>1441</v>
      </c>
      <c r="B266" t="str">
        <f>PPR!A200</f>
        <v>Conducción Fluidos</v>
      </c>
      <c r="C266" t="str">
        <f>PPR!B200</f>
        <v>PP-R</v>
      </c>
      <c r="D266">
        <f>PPR!F200</f>
        <v>332906</v>
      </c>
      <c r="E266" t="str">
        <f>PPR!G200</f>
        <v>PPR FT UNION AMERICANA HE.MET 63 x 2</v>
      </c>
      <c r="F266">
        <f>PPR!H200</f>
        <v>1</v>
      </c>
      <c r="G266" t="str">
        <f>PPR!I200</f>
        <v>Bolsa</v>
      </c>
      <c r="H266">
        <f>IFERROR(IF(PPR!J200="",0,PPR!J200),0)</f>
        <v>0</v>
      </c>
      <c r="I266" s="58" t="str">
        <f>IF(H266&gt;0, MAX(I$1:I265)+1, "")</f>
        <v/>
      </c>
    </row>
    <row r="267" spans="1:9" x14ac:dyDescent="0.2">
      <c r="A267" t="s">
        <v>1441</v>
      </c>
      <c r="B267" t="str">
        <f>PPR!A201</f>
        <v>Conducción Fluidos</v>
      </c>
      <c r="C267" t="str">
        <f>PPR!B201</f>
        <v>PP-R</v>
      </c>
      <c r="D267">
        <f>PPR!F201</f>
        <v>332801</v>
      </c>
      <c r="E267" t="str">
        <f>PPR!G201</f>
        <v>PPR FT UNION AMERICANA HI.MET 20 x 1/2'</v>
      </c>
      <c r="F267">
        <f>PPR!H201</f>
        <v>10</v>
      </c>
      <c r="G267" t="str">
        <f>PPR!I201</f>
        <v>Bolsa</v>
      </c>
      <c r="H267">
        <f>IFERROR(IF(PPR!J201="",0,PPR!J201),0)</f>
        <v>0</v>
      </c>
      <c r="I267" s="58" t="str">
        <f>IF(H267&gt;0, MAX(I$1:I266)+1, "")</f>
        <v/>
      </c>
    </row>
    <row r="268" spans="1:9" x14ac:dyDescent="0.2">
      <c r="A268" t="s">
        <v>1441</v>
      </c>
      <c r="B268" t="str">
        <f>PPR!A202</f>
        <v>Conducción Fluidos</v>
      </c>
      <c r="C268" t="str">
        <f>PPR!B202</f>
        <v>PP-R</v>
      </c>
      <c r="D268">
        <f>PPR!F202</f>
        <v>332802</v>
      </c>
      <c r="E268" t="str">
        <f>PPR!G202</f>
        <v>PPR FT UNION AMERICANA HI.MET 25 x 3/4'</v>
      </c>
      <c r="F268">
        <f>PPR!H202</f>
        <v>10</v>
      </c>
      <c r="G268" t="str">
        <f>PPR!I202</f>
        <v>Bolsa</v>
      </c>
      <c r="H268">
        <f>IFERROR(IF(PPR!J202="",0,PPR!J202),0)</f>
        <v>0</v>
      </c>
      <c r="I268" s="58" t="str">
        <f>IF(H268&gt;0, MAX(I$1:I267)+1, "")</f>
        <v/>
      </c>
    </row>
    <row r="269" spans="1:9" x14ac:dyDescent="0.2">
      <c r="A269" t="s">
        <v>1441</v>
      </c>
      <c r="B269" t="str">
        <f>PPR!A203</f>
        <v>Conducción Fluidos</v>
      </c>
      <c r="C269" t="str">
        <f>PPR!B203</f>
        <v>PP-R</v>
      </c>
      <c r="D269">
        <f>PPR!F203</f>
        <v>332803</v>
      </c>
      <c r="E269" t="str">
        <f>PPR!G203</f>
        <v>PPR FT UNION AMERICANA HI.MET 32 x 1'</v>
      </c>
      <c r="F269">
        <f>PPR!H203</f>
        <v>10</v>
      </c>
      <c r="G269" t="str">
        <f>PPR!I203</f>
        <v>Bolsa</v>
      </c>
      <c r="H269">
        <f>IFERROR(IF(PPR!J203="",0,PPR!J203),0)</f>
        <v>0</v>
      </c>
      <c r="I269" s="58" t="str">
        <f>IF(H269&gt;0, MAX(I$1:I268)+1, "")</f>
        <v/>
      </c>
    </row>
    <row r="270" spans="1:9" x14ac:dyDescent="0.2">
      <c r="A270" t="s">
        <v>1441</v>
      </c>
      <c r="B270" t="str">
        <f>PPR!A204</f>
        <v>Conducción Fluidos</v>
      </c>
      <c r="C270" t="str">
        <f>PPR!B204</f>
        <v>PP-R</v>
      </c>
      <c r="D270">
        <f>PPR!F204</f>
        <v>332804</v>
      </c>
      <c r="E270" t="str">
        <f>PPR!G204</f>
        <v>PPR FT UNION AMERICANA HI.MET 40x 1 1/4'</v>
      </c>
      <c r="F270">
        <f>PPR!H204</f>
        <v>10</v>
      </c>
      <c r="G270" t="str">
        <f>PPR!I204</f>
        <v>Bolsa</v>
      </c>
      <c r="H270">
        <f>IFERROR(IF(PPR!J204="",0,PPR!J204),0)</f>
        <v>0</v>
      </c>
      <c r="I270" s="58" t="str">
        <f>IF(H270&gt;0, MAX(I$1:I269)+1, "")</f>
        <v/>
      </c>
    </row>
    <row r="271" spans="1:9" x14ac:dyDescent="0.2">
      <c r="A271" t="s">
        <v>1441</v>
      </c>
      <c r="B271" t="str">
        <f>PPR!A205</f>
        <v>Conducción Fluidos</v>
      </c>
      <c r="C271" t="str">
        <f>PPR!B205</f>
        <v>PP-R</v>
      </c>
      <c r="D271">
        <f>PPR!F205</f>
        <v>332805</v>
      </c>
      <c r="E271" t="str">
        <f>PPR!G205</f>
        <v>PPR UNION AMERICANA HI.MET 50 x 1 1/2'</v>
      </c>
      <c r="F271">
        <f>PPR!H205</f>
        <v>10</v>
      </c>
      <c r="G271" t="str">
        <f>PPR!I205</f>
        <v>Bolsa</v>
      </c>
      <c r="H271">
        <f>IFERROR(IF(PPR!J205="",0,PPR!J205),0)</f>
        <v>0</v>
      </c>
      <c r="I271" s="58" t="str">
        <f>IF(H271&gt;0, MAX(I$1:I270)+1, "")</f>
        <v/>
      </c>
    </row>
    <row r="272" spans="1:9" x14ac:dyDescent="0.2">
      <c r="A272" t="s">
        <v>1441</v>
      </c>
      <c r="B272" t="str">
        <f>PPR!A206</f>
        <v>Conducción Fluidos</v>
      </c>
      <c r="C272" t="str">
        <f>PPR!B206</f>
        <v>PP-R</v>
      </c>
      <c r="D272">
        <f>PPR!F206</f>
        <v>332806</v>
      </c>
      <c r="E272" t="str">
        <f>PPR!G206</f>
        <v>PPR FT UNION AMERICANA HI.MET 63 x 2'</v>
      </c>
      <c r="F272">
        <f>PPR!H206</f>
        <v>1</v>
      </c>
      <c r="G272" t="str">
        <f>PPR!I206</f>
        <v>Bolsa</v>
      </c>
      <c r="H272">
        <f>IFERROR(IF(PPR!J206="",0,PPR!J206),0)</f>
        <v>0</v>
      </c>
      <c r="I272" s="58" t="str">
        <f>IF(H272&gt;0, MAX(I$1:I271)+1, "")</f>
        <v/>
      </c>
    </row>
    <row r="273" spans="1:9" x14ac:dyDescent="0.2">
      <c r="A273" t="s">
        <v>1441</v>
      </c>
      <c r="B273" t="str">
        <f>PPR!A207</f>
        <v>Conducción Fluidos</v>
      </c>
      <c r="C273" t="str">
        <f>PPR!B207</f>
        <v>PP-R</v>
      </c>
      <c r="D273">
        <f>PPR!F207</f>
        <v>332602</v>
      </c>
      <c r="E273" t="str">
        <f>PPR!G207</f>
        <v>PPR FT TERMINAL HE MET 20 1/2' I</v>
      </c>
      <c r="F273">
        <f>PPR!H207</f>
        <v>30</v>
      </c>
      <c r="G273" t="str">
        <f>PPR!I207</f>
        <v>Bolsa</v>
      </c>
      <c r="H273">
        <f>IFERROR(IF(PPR!J207="",0,PPR!J207),0)</f>
        <v>0</v>
      </c>
      <c r="I273" s="58" t="str">
        <f>IF(H273&gt;0, MAX(I$1:I272)+1, "")</f>
        <v/>
      </c>
    </row>
    <row r="274" spans="1:9" x14ac:dyDescent="0.2">
      <c r="A274" t="s">
        <v>1441</v>
      </c>
      <c r="B274" t="str">
        <f>PPR!A208</f>
        <v>Conducción Fluidos</v>
      </c>
      <c r="C274" t="str">
        <f>PPR!B208</f>
        <v>PP-R</v>
      </c>
      <c r="D274">
        <f>PPR!F208</f>
        <v>332615</v>
      </c>
      <c r="E274" t="str">
        <f>PPR!G208</f>
        <v>PPR FT TERMINAL HE MET 20 3/4' I</v>
      </c>
      <c r="F274">
        <f>PPR!H208</f>
        <v>20</v>
      </c>
      <c r="G274" t="str">
        <f>PPR!I208</f>
        <v>Bolsa</v>
      </c>
      <c r="H274">
        <f>IFERROR(IF(PPR!J208="",0,PPR!J208),0)</f>
        <v>0</v>
      </c>
      <c r="I274" s="58" t="str">
        <f>IF(H274&gt;0, MAX(I$1:I273)+1, "")</f>
        <v/>
      </c>
    </row>
    <row r="275" spans="1:9" x14ac:dyDescent="0.2">
      <c r="A275" t="s">
        <v>1441</v>
      </c>
      <c r="B275" t="str">
        <f>PPR!A209</f>
        <v>Conducción Fluidos</v>
      </c>
      <c r="C275" t="str">
        <f>PPR!B209</f>
        <v>PP-R</v>
      </c>
      <c r="D275">
        <f>PPR!F209</f>
        <v>332603</v>
      </c>
      <c r="E275" t="str">
        <f>PPR!G209</f>
        <v>PPR FT TERMINAL HE MET 25 1/2' I</v>
      </c>
      <c r="F275">
        <f>PPR!H209</f>
        <v>25</v>
      </c>
      <c r="G275" t="str">
        <f>PPR!I209</f>
        <v>Bolsa</v>
      </c>
      <c r="H275">
        <f>IFERROR(IF(PPR!J209="",0,PPR!J209),0)</f>
        <v>0</v>
      </c>
      <c r="I275" s="58" t="str">
        <f>IF(H275&gt;0, MAX(I$1:I274)+1, "")</f>
        <v/>
      </c>
    </row>
    <row r="276" spans="1:9" x14ac:dyDescent="0.2">
      <c r="A276" t="s">
        <v>1441</v>
      </c>
      <c r="B276" t="str">
        <f>PPR!A210</f>
        <v>Conducción Fluidos</v>
      </c>
      <c r="C276" t="str">
        <f>PPR!B210</f>
        <v>PP-R</v>
      </c>
      <c r="D276">
        <f>PPR!F210</f>
        <v>332604</v>
      </c>
      <c r="E276" t="str">
        <f>PPR!G210</f>
        <v>PPR FT TERMINAL HE MET 25 3/4' I</v>
      </c>
      <c r="F276">
        <f>PPR!H210</f>
        <v>20</v>
      </c>
      <c r="G276" t="str">
        <f>PPR!I210</f>
        <v>Bolsa</v>
      </c>
      <c r="H276">
        <f>IFERROR(IF(PPR!J210="",0,PPR!J210),0)</f>
        <v>0</v>
      </c>
      <c r="I276" s="58" t="str">
        <f>IF(H276&gt;0, MAX(I$1:I275)+1, "")</f>
        <v/>
      </c>
    </row>
    <row r="277" spans="1:9" x14ac:dyDescent="0.2">
      <c r="A277" t="s">
        <v>1441</v>
      </c>
      <c r="B277" t="str">
        <f>PPR!A211</f>
        <v>Conducción Fluidos</v>
      </c>
      <c r="C277" t="str">
        <f>PPR!B211</f>
        <v>PP-R</v>
      </c>
      <c r="D277">
        <f>PPR!F211</f>
        <v>332606</v>
      </c>
      <c r="E277" t="str">
        <f>PPR!G211</f>
        <v>PPR FT TERMINAL HE MET 32 1/2' I</v>
      </c>
      <c r="F277">
        <f>PPR!H211</f>
        <v>10</v>
      </c>
      <c r="G277" t="str">
        <f>PPR!I211</f>
        <v>Bolsa</v>
      </c>
      <c r="H277">
        <f>IFERROR(IF(PPR!J211="",0,PPR!J211),0)</f>
        <v>0</v>
      </c>
      <c r="I277" s="58" t="str">
        <f>IF(H277&gt;0, MAX(I$1:I276)+1, "")</f>
        <v/>
      </c>
    </row>
    <row r="278" spans="1:9" x14ac:dyDescent="0.2">
      <c r="A278" t="s">
        <v>1441</v>
      </c>
      <c r="B278" t="str">
        <f>PPR!A212</f>
        <v>Conducción Fluidos</v>
      </c>
      <c r="C278" t="str">
        <f>PPR!B212</f>
        <v>PP-R</v>
      </c>
      <c r="D278">
        <f>PPR!F212</f>
        <v>332607</v>
      </c>
      <c r="E278" t="str">
        <f>PPR!G212</f>
        <v>PPR FT TERMINAL HE MET 32 3/4' I</v>
      </c>
      <c r="F278">
        <f>PPR!H212</f>
        <v>10</v>
      </c>
      <c r="G278" t="str">
        <f>PPR!I212</f>
        <v>Bolsa</v>
      </c>
      <c r="H278">
        <f>IFERROR(IF(PPR!J212="",0,PPR!J212),0)</f>
        <v>0</v>
      </c>
      <c r="I278" s="58" t="str">
        <f>IF(H278&gt;0, MAX(I$1:I277)+1, "")</f>
        <v/>
      </c>
    </row>
    <row r="279" spans="1:9" x14ac:dyDescent="0.2">
      <c r="A279" t="s">
        <v>1441</v>
      </c>
      <c r="B279" t="str">
        <f>PPR!A213</f>
        <v>Conducción Fluidos</v>
      </c>
      <c r="C279" t="str">
        <f>PPR!B213</f>
        <v>PP-R</v>
      </c>
      <c r="D279">
        <f>PPR!F213</f>
        <v>332605</v>
      </c>
      <c r="E279" t="str">
        <f>PPR!G213</f>
        <v>PPR FT TERMINAL HE MET 32 1' I</v>
      </c>
      <c r="F279">
        <f>PPR!H213</f>
        <v>6</v>
      </c>
      <c r="G279" t="str">
        <f>PPR!I213</f>
        <v>Bolsa</v>
      </c>
      <c r="H279">
        <f>IFERROR(IF(PPR!J213="",0,PPR!J213),0)</f>
        <v>0</v>
      </c>
      <c r="I279" s="58" t="str">
        <f>IF(H279&gt;0, MAX(I$1:I278)+1, "")</f>
        <v/>
      </c>
    </row>
    <row r="280" spans="1:9" x14ac:dyDescent="0.2">
      <c r="A280" t="s">
        <v>1441</v>
      </c>
      <c r="B280" t="str">
        <f>PPR!A214</f>
        <v>Conducción Fluidos</v>
      </c>
      <c r="C280" t="str">
        <f>PPR!B214</f>
        <v>PP-R</v>
      </c>
      <c r="D280">
        <f>PPR!F214</f>
        <v>332608</v>
      </c>
      <c r="E280" t="str">
        <f>PPR!G214</f>
        <v>PPR FT TERMINAL HE MET 40 1' I</v>
      </c>
      <c r="F280">
        <f>PPR!H214</f>
        <v>5</v>
      </c>
      <c r="G280" t="str">
        <f>PPR!I214</f>
        <v>Bolsa</v>
      </c>
      <c r="H280">
        <f>IFERROR(IF(PPR!J214="",0,PPR!J214),0)</f>
        <v>0</v>
      </c>
      <c r="I280" s="58" t="str">
        <f>IF(H280&gt;0, MAX(I$1:I279)+1, "")</f>
        <v/>
      </c>
    </row>
    <row r="281" spans="1:9" x14ac:dyDescent="0.2">
      <c r="A281" t="s">
        <v>1441</v>
      </c>
      <c r="B281" t="str">
        <f>PPR!A215</f>
        <v>Conducción Fluidos</v>
      </c>
      <c r="C281" t="str">
        <f>PPR!B215</f>
        <v>PP-R</v>
      </c>
      <c r="D281">
        <f>PPR!F215</f>
        <v>332609</v>
      </c>
      <c r="E281" t="str">
        <f>PPR!G215</f>
        <v>PPR FT TERMINAL HE MET 40 1 1/4' I</v>
      </c>
      <c r="F281">
        <f>PPR!H215</f>
        <v>5</v>
      </c>
      <c r="G281" t="str">
        <f>PPR!I215</f>
        <v>Bolsa</v>
      </c>
      <c r="H281">
        <f>IFERROR(IF(PPR!J215="",0,PPR!J215),0)</f>
        <v>0</v>
      </c>
      <c r="I281" s="58" t="str">
        <f>IF(H281&gt;0, MAX(I$1:I280)+1, "")</f>
        <v/>
      </c>
    </row>
    <row r="282" spans="1:9" x14ac:dyDescent="0.2">
      <c r="A282" t="s">
        <v>1441</v>
      </c>
      <c r="B282" t="str">
        <f>PPR!A216</f>
        <v>Conducción Fluidos</v>
      </c>
      <c r="C282" t="str">
        <f>PPR!B216</f>
        <v>PP-R</v>
      </c>
      <c r="D282">
        <f>PPR!F216</f>
        <v>332610</v>
      </c>
      <c r="E282" t="str">
        <f>PPR!G216</f>
        <v>PPR FT TERMINAL HE MET 50 1 1/2' I</v>
      </c>
      <c r="F282">
        <f>PPR!H216</f>
        <v>1</v>
      </c>
      <c r="G282" t="str">
        <f>PPR!I216</f>
        <v>Bolsa</v>
      </c>
      <c r="H282">
        <f>IFERROR(IF(PPR!J216="",0,PPR!J216),0)</f>
        <v>0</v>
      </c>
      <c r="I282" s="58" t="str">
        <f>IF(H282&gt;0, MAX(I$1:I281)+1, "")</f>
        <v/>
      </c>
    </row>
    <row r="283" spans="1:9" x14ac:dyDescent="0.2">
      <c r="A283" t="s">
        <v>1441</v>
      </c>
      <c r="B283" t="str">
        <f>PPR!A217</f>
        <v>Conducción Fluidos</v>
      </c>
      <c r="C283" t="str">
        <f>PPR!B217</f>
        <v>PP-R</v>
      </c>
      <c r="D283">
        <f>PPR!F217</f>
        <v>332611</v>
      </c>
      <c r="E283" t="str">
        <f>PPR!G217</f>
        <v>PPR FT TERMINAL HE MET 63 2' I</v>
      </c>
      <c r="F283">
        <f>PPR!H217</f>
        <v>1</v>
      </c>
      <c r="G283" t="str">
        <f>PPR!I217</f>
        <v>Bolsa</v>
      </c>
      <c r="H283">
        <f>IFERROR(IF(PPR!J217="",0,PPR!J217),0)</f>
        <v>0</v>
      </c>
      <c r="I283" s="58" t="str">
        <f>IF(H283&gt;0, MAX(I$1:I282)+1, "")</f>
        <v/>
      </c>
    </row>
    <row r="284" spans="1:9" x14ac:dyDescent="0.2">
      <c r="A284" t="s">
        <v>1441</v>
      </c>
      <c r="B284" t="str">
        <f>PPR!A218</f>
        <v>Conducción Fluidos</v>
      </c>
      <c r="C284" t="str">
        <f>PPR!B218</f>
        <v>PP-R</v>
      </c>
      <c r="D284">
        <f>PPR!F218</f>
        <v>332612</v>
      </c>
      <c r="E284" t="str">
        <f>PPR!G218</f>
        <v>PPR FT TERMINAL HE MET 75 2 1/2' I</v>
      </c>
      <c r="F284">
        <f>PPR!H218</f>
        <v>1</v>
      </c>
      <c r="G284" t="str">
        <f>PPR!I218</f>
        <v>Bolsa</v>
      </c>
      <c r="H284">
        <f>IFERROR(IF(PPR!J218="",0,PPR!J218),0)</f>
        <v>0</v>
      </c>
      <c r="I284" s="58" t="str">
        <f>IF(H284&gt;0, MAX(I$1:I283)+1, "")</f>
        <v/>
      </c>
    </row>
    <row r="285" spans="1:9" x14ac:dyDescent="0.2">
      <c r="A285" t="s">
        <v>1441</v>
      </c>
      <c r="B285" t="str">
        <f>PPR!A219</f>
        <v>Conducción Fluidos</v>
      </c>
      <c r="C285" t="str">
        <f>PPR!B219</f>
        <v>PP-R</v>
      </c>
      <c r="D285">
        <f>PPR!F219</f>
        <v>332613</v>
      </c>
      <c r="E285" t="str">
        <f>PPR!G219</f>
        <v>PPR FT TERMINAL HE MET 90 3' I</v>
      </c>
      <c r="F285">
        <f>PPR!H219</f>
        <v>1</v>
      </c>
      <c r="G285" t="str">
        <f>PPR!I219</f>
        <v>unitario</v>
      </c>
      <c r="H285">
        <f>IFERROR(IF(PPR!J219="",0,PPR!J219),0)</f>
        <v>0</v>
      </c>
      <c r="I285" s="58" t="str">
        <f>IF(H285&gt;0, MAX(I$1:I284)+1, "")</f>
        <v/>
      </c>
    </row>
    <row r="286" spans="1:9" x14ac:dyDescent="0.2">
      <c r="A286" t="s">
        <v>1441</v>
      </c>
      <c r="B286" t="str">
        <f>PPR!A220</f>
        <v>Conducción Fluidos</v>
      </c>
      <c r="C286" t="str">
        <f>PPR!B220</f>
        <v>PP-R</v>
      </c>
      <c r="D286">
        <f>PPR!F220</f>
        <v>32614</v>
      </c>
      <c r="E286" t="str">
        <f>PPR!G220</f>
        <v>PPR FT TERMINAL HE MET 110 4' N</v>
      </c>
      <c r="F286">
        <f>PPR!H220</f>
        <v>1</v>
      </c>
      <c r="G286" t="str">
        <f>PPR!I220</f>
        <v>unitario</v>
      </c>
      <c r="H286">
        <f>IFERROR(IF(PPR!J220="",0,PPR!J220),0)</f>
        <v>0</v>
      </c>
      <c r="I286" s="58" t="str">
        <f>IF(H286&gt;0, MAX(I$1:I285)+1, "")</f>
        <v/>
      </c>
    </row>
    <row r="287" spans="1:9" x14ac:dyDescent="0.2">
      <c r="A287" t="s">
        <v>1441</v>
      </c>
      <c r="B287" t="str">
        <f>PPR!A221</f>
        <v>Conducción Fluidos</v>
      </c>
      <c r="C287" t="str">
        <f>PPR!B221</f>
        <v>PP-R</v>
      </c>
      <c r="D287">
        <f>PPR!F221</f>
        <v>332502</v>
      </c>
      <c r="E287" t="str">
        <f>PPR!G221</f>
        <v>PPR FT TERMINAL HI MET 20 1/2' I</v>
      </c>
      <c r="F287">
        <f>PPR!H221</f>
        <v>20</v>
      </c>
      <c r="G287" t="str">
        <f>PPR!I221</f>
        <v>Bolsa</v>
      </c>
      <c r="H287">
        <f>IFERROR(IF(PPR!J221="",0,PPR!J221),0)</f>
        <v>0</v>
      </c>
      <c r="I287" s="58" t="str">
        <f>IF(H287&gt;0, MAX(I$1:I286)+1, "")</f>
        <v/>
      </c>
    </row>
    <row r="288" spans="1:9" x14ac:dyDescent="0.2">
      <c r="A288" t="s">
        <v>1441</v>
      </c>
      <c r="B288" t="str">
        <f>PPR!A222</f>
        <v>Conducción Fluidos</v>
      </c>
      <c r="C288" t="str">
        <f>PPR!B222</f>
        <v>PP-R</v>
      </c>
      <c r="D288">
        <f>PPR!F222</f>
        <v>332516</v>
      </c>
      <c r="E288" t="str">
        <f>PPR!G222</f>
        <v>PPR FT TERMINAL HI MET 20 3/4' I</v>
      </c>
      <c r="F288">
        <f>PPR!H222</f>
        <v>20</v>
      </c>
      <c r="G288" t="str">
        <f>PPR!I222</f>
        <v>Bolsa</v>
      </c>
      <c r="H288">
        <f>IFERROR(IF(PPR!J222="",0,PPR!J222),0)</f>
        <v>0</v>
      </c>
      <c r="I288" s="58" t="str">
        <f>IF(H288&gt;0, MAX(I$1:I287)+1, "")</f>
        <v/>
      </c>
    </row>
    <row r="289" spans="1:9" x14ac:dyDescent="0.2">
      <c r="A289" t="s">
        <v>1441</v>
      </c>
      <c r="B289" t="str">
        <f>PPR!A223</f>
        <v>Conducción Fluidos</v>
      </c>
      <c r="C289" t="str">
        <f>PPR!B223</f>
        <v>PP-R</v>
      </c>
      <c r="D289">
        <f>PPR!F223</f>
        <v>332503</v>
      </c>
      <c r="E289" t="str">
        <f>PPR!G223</f>
        <v>PPR FT TERMINAL HI MET 25 1/2' I</v>
      </c>
      <c r="F289">
        <f>PPR!H223</f>
        <v>20</v>
      </c>
      <c r="G289" t="str">
        <f>PPR!I223</f>
        <v>Bolsa</v>
      </c>
      <c r="H289">
        <f>IFERROR(IF(PPR!J223="",0,PPR!J223),0)</f>
        <v>0</v>
      </c>
      <c r="I289" s="58" t="str">
        <f>IF(H289&gt;0, MAX(I$1:I288)+1, "")</f>
        <v/>
      </c>
    </row>
    <row r="290" spans="1:9" x14ac:dyDescent="0.2">
      <c r="A290" t="s">
        <v>1441</v>
      </c>
      <c r="B290" t="str">
        <f>PPR!A224</f>
        <v>Conducción Fluidos</v>
      </c>
      <c r="C290" t="str">
        <f>PPR!B224</f>
        <v>PP-R</v>
      </c>
      <c r="D290">
        <f>PPR!F224</f>
        <v>332504</v>
      </c>
      <c r="E290" t="str">
        <f>PPR!G224</f>
        <v>PPR FT TERMINAL HI MET 25 3/4' I</v>
      </c>
      <c r="F290">
        <f>PPR!H224</f>
        <v>20</v>
      </c>
      <c r="G290" t="str">
        <f>PPR!I224</f>
        <v>Bolsa</v>
      </c>
      <c r="H290">
        <f>IFERROR(IF(PPR!J224="",0,PPR!J224),0)</f>
        <v>0</v>
      </c>
      <c r="I290" s="58" t="str">
        <f>IF(H290&gt;0, MAX(I$1:I289)+1, "")</f>
        <v/>
      </c>
    </row>
    <row r="291" spans="1:9" x14ac:dyDescent="0.2">
      <c r="A291" t="s">
        <v>1441</v>
      </c>
      <c r="B291" t="str">
        <f>PPR!A225</f>
        <v>Conducción Fluidos</v>
      </c>
      <c r="C291" t="str">
        <f>PPR!B225</f>
        <v>PP-R</v>
      </c>
      <c r="D291">
        <f>PPR!F225</f>
        <v>332506</v>
      </c>
      <c r="E291" t="str">
        <f>PPR!G225</f>
        <v>PPR FT TERMINAL HI MET 32 1/2' I</v>
      </c>
      <c r="F291">
        <f>PPR!H225</f>
        <v>10</v>
      </c>
      <c r="G291" t="str">
        <f>PPR!I225</f>
        <v>Bolsa</v>
      </c>
      <c r="H291">
        <f>IFERROR(IF(PPR!J225="",0,PPR!J225),0)</f>
        <v>0</v>
      </c>
      <c r="I291" s="58" t="str">
        <f>IF(H291&gt;0, MAX(I$1:I290)+1, "")</f>
        <v/>
      </c>
    </row>
    <row r="292" spans="1:9" x14ac:dyDescent="0.2">
      <c r="A292" t="s">
        <v>1441</v>
      </c>
      <c r="B292" t="str">
        <f>PPR!A226</f>
        <v>Conducción Fluidos</v>
      </c>
      <c r="C292" t="str">
        <f>PPR!B226</f>
        <v>PP-R</v>
      </c>
      <c r="D292">
        <f>PPR!F226</f>
        <v>332507</v>
      </c>
      <c r="E292" t="str">
        <f>PPR!G226</f>
        <v>PPR FT TERMINAL HI MET 32 3/4' I</v>
      </c>
      <c r="F292">
        <f>PPR!H226</f>
        <v>10</v>
      </c>
      <c r="G292" t="str">
        <f>PPR!I226</f>
        <v>Bolsa</v>
      </c>
      <c r="H292">
        <f>IFERROR(IF(PPR!J226="",0,PPR!J226),0)</f>
        <v>0</v>
      </c>
      <c r="I292" s="58" t="str">
        <f>IF(H292&gt;0, MAX(I$1:I291)+1, "")</f>
        <v/>
      </c>
    </row>
    <row r="293" spans="1:9" x14ac:dyDescent="0.2">
      <c r="A293" t="s">
        <v>1441</v>
      </c>
      <c r="B293" t="str">
        <f>PPR!A227</f>
        <v>Conducción Fluidos</v>
      </c>
      <c r="C293" t="str">
        <f>PPR!B227</f>
        <v>PP-R</v>
      </c>
      <c r="D293">
        <f>PPR!F227</f>
        <v>332505</v>
      </c>
      <c r="E293" t="str">
        <f>PPR!G227</f>
        <v>PPR FT TERMINAL HI MET 32 1' I</v>
      </c>
      <c r="F293">
        <f>PPR!H227</f>
        <v>10</v>
      </c>
      <c r="G293" t="str">
        <f>PPR!I227</f>
        <v>Bolsa</v>
      </c>
      <c r="H293">
        <f>IFERROR(IF(PPR!J227="",0,PPR!J227),0)</f>
        <v>0</v>
      </c>
      <c r="I293" s="58" t="str">
        <f>IF(H293&gt;0, MAX(I$1:I292)+1, "")</f>
        <v/>
      </c>
    </row>
    <row r="294" spans="1:9" x14ac:dyDescent="0.2">
      <c r="A294" t="s">
        <v>1441</v>
      </c>
      <c r="B294" t="str">
        <f>PPR!A228</f>
        <v>Conducción Fluidos</v>
      </c>
      <c r="C294" t="str">
        <f>PPR!B228</f>
        <v>PP-R</v>
      </c>
      <c r="D294">
        <f>PPR!F228</f>
        <v>32509</v>
      </c>
      <c r="E294" t="str">
        <f>PPR!G228</f>
        <v>PPR FT TERMINAL HI MET 40 3/4' N</v>
      </c>
      <c r="F294">
        <f>PPR!H228</f>
        <v>5</v>
      </c>
      <c r="G294" t="str">
        <f>PPR!I228</f>
        <v>Bolsa</v>
      </c>
      <c r="H294">
        <f>IFERROR(IF(PPR!J228="",0,PPR!J228),0)</f>
        <v>0</v>
      </c>
      <c r="I294" s="58" t="str">
        <f>IF(H294&gt;0, MAX(I$1:I293)+1, "")</f>
        <v/>
      </c>
    </row>
    <row r="295" spans="1:9" x14ac:dyDescent="0.2">
      <c r="A295" t="s">
        <v>1441</v>
      </c>
      <c r="B295" t="str">
        <f>PPR!A229</f>
        <v>Conducción Fluidos</v>
      </c>
      <c r="C295" t="str">
        <f>PPR!B229</f>
        <v>PP-R</v>
      </c>
      <c r="D295">
        <f>PPR!F229</f>
        <v>32508</v>
      </c>
      <c r="E295" t="str">
        <f>PPR!G229</f>
        <v>PPR FT TERMINAL HI MET 40 1' N</v>
      </c>
      <c r="F295">
        <f>PPR!H229</f>
        <v>5</v>
      </c>
      <c r="G295" t="str">
        <f>PPR!I229</f>
        <v>Bolsa</v>
      </c>
      <c r="H295">
        <f>IFERROR(IF(PPR!J229="",0,PPR!J229),0)</f>
        <v>0</v>
      </c>
      <c r="I295" s="58" t="str">
        <f>IF(H295&gt;0, MAX(I$1:I294)+1, "")</f>
        <v/>
      </c>
    </row>
    <row r="296" spans="1:9" x14ac:dyDescent="0.2">
      <c r="A296" t="s">
        <v>1441</v>
      </c>
      <c r="B296" t="str">
        <f>PPR!A230</f>
        <v>Conducción Fluidos</v>
      </c>
      <c r="C296" t="str">
        <f>PPR!B230</f>
        <v>PP-R</v>
      </c>
      <c r="D296">
        <f>PPR!F230</f>
        <v>332510</v>
      </c>
      <c r="E296" t="str">
        <f>PPR!G230</f>
        <v>PPR FT TERMINAL HI MET 40 1 1/4' I</v>
      </c>
      <c r="F296">
        <f>PPR!H230</f>
        <v>5</v>
      </c>
      <c r="G296" t="str">
        <f>PPR!I230</f>
        <v>Bolsa</v>
      </c>
      <c r="H296">
        <f>IFERROR(IF(PPR!J230="",0,PPR!J230),0)</f>
        <v>0</v>
      </c>
      <c r="I296" s="58" t="str">
        <f>IF(H296&gt;0, MAX(I$1:I295)+1, "")</f>
        <v/>
      </c>
    </row>
    <row r="297" spans="1:9" x14ac:dyDescent="0.2">
      <c r="A297" t="s">
        <v>1441</v>
      </c>
      <c r="B297" t="str">
        <f>PPR!A231</f>
        <v>Conducción Fluidos</v>
      </c>
      <c r="C297" t="str">
        <f>PPR!B231</f>
        <v>PP-R</v>
      </c>
      <c r="D297">
        <f>PPR!F231</f>
        <v>332511</v>
      </c>
      <c r="E297" t="str">
        <f>PPR!G231</f>
        <v>PPR FT TERMINAL HI MET 50 1 1/2' I</v>
      </c>
      <c r="F297">
        <f>PPR!H231</f>
        <v>4</v>
      </c>
      <c r="G297" t="str">
        <f>PPR!I231</f>
        <v>Bolsa</v>
      </c>
      <c r="H297">
        <f>IFERROR(IF(PPR!J231="",0,PPR!J231),0)</f>
        <v>0</v>
      </c>
      <c r="I297" s="58" t="str">
        <f>IF(H297&gt;0, MAX(I$1:I296)+1, "")</f>
        <v/>
      </c>
    </row>
    <row r="298" spans="1:9" x14ac:dyDescent="0.2">
      <c r="A298" t="s">
        <v>1441</v>
      </c>
      <c r="B298" t="str">
        <f>PPR!A232</f>
        <v>Conducción Fluidos</v>
      </c>
      <c r="C298" t="str">
        <f>PPR!B232</f>
        <v>PP-R</v>
      </c>
      <c r="D298">
        <f>PPR!F232</f>
        <v>332512</v>
      </c>
      <c r="E298" t="str">
        <f>PPR!G232</f>
        <v>PPR FT TERMINAL HI MET 63 2' I</v>
      </c>
      <c r="F298">
        <f>PPR!H232</f>
        <v>1</v>
      </c>
      <c r="G298" t="str">
        <f>PPR!I232</f>
        <v>unitario</v>
      </c>
      <c r="H298">
        <f>IFERROR(IF(PPR!J232="",0,PPR!J232),0)</f>
        <v>0</v>
      </c>
      <c r="I298" s="58" t="str">
        <f>IF(H298&gt;0, MAX(I$1:I297)+1, "")</f>
        <v/>
      </c>
    </row>
    <row r="299" spans="1:9" x14ac:dyDescent="0.2">
      <c r="A299" t="s">
        <v>1441</v>
      </c>
      <c r="B299" t="str">
        <f>PPR!A233</f>
        <v>Conducción Fluidos</v>
      </c>
      <c r="C299" t="str">
        <f>PPR!B233</f>
        <v>PP-R</v>
      </c>
      <c r="D299">
        <f>PPR!F233</f>
        <v>332513</v>
      </c>
      <c r="E299" t="str">
        <f>PPR!G233</f>
        <v>PPR FT TERMINAL HI MET 75 2 1/2' I</v>
      </c>
      <c r="F299">
        <f>PPR!H233</f>
        <v>1</v>
      </c>
      <c r="G299" t="str">
        <f>PPR!I233</f>
        <v>unitario</v>
      </c>
      <c r="H299">
        <f>IFERROR(IF(PPR!J233="",0,PPR!J233),0)</f>
        <v>0</v>
      </c>
      <c r="I299" s="58" t="str">
        <f>IF(H299&gt;0, MAX(I$1:I298)+1, "")</f>
        <v/>
      </c>
    </row>
    <row r="300" spans="1:9" x14ac:dyDescent="0.2">
      <c r="A300" t="s">
        <v>1441</v>
      </c>
      <c r="B300" t="str">
        <f>PPR!A234</f>
        <v>Conducción Fluidos</v>
      </c>
      <c r="C300" t="str">
        <f>PPR!B234</f>
        <v>PP-R</v>
      </c>
      <c r="D300">
        <f>PPR!F234</f>
        <v>332514</v>
      </c>
      <c r="E300" t="str">
        <f>PPR!G234</f>
        <v>PPR FT TERMINAL HI MET 90 3' I</v>
      </c>
      <c r="F300">
        <f>PPR!H234</f>
        <v>1</v>
      </c>
      <c r="G300" t="str">
        <f>PPR!I234</f>
        <v>unitario</v>
      </c>
      <c r="H300">
        <f>IFERROR(IF(PPR!J234="",0,PPR!J234),0)</f>
        <v>0</v>
      </c>
      <c r="I300" s="58" t="str">
        <f>IF(H300&gt;0, MAX(I$1:I299)+1, "")</f>
        <v/>
      </c>
    </row>
    <row r="301" spans="1:9" x14ac:dyDescent="0.2">
      <c r="A301" t="s">
        <v>1441</v>
      </c>
      <c r="B301" t="str">
        <f>PPR!A235</f>
        <v>Conducción Fluidos</v>
      </c>
      <c r="C301" t="str">
        <f>PPR!B235</f>
        <v>PP-R</v>
      </c>
      <c r="D301">
        <f>PPR!F235</f>
        <v>32515</v>
      </c>
      <c r="E301" t="str">
        <f>PPR!G235</f>
        <v>PPR FT TERMINAL HI MET 110 4' N</v>
      </c>
      <c r="F301">
        <f>PPR!H235</f>
        <v>1</v>
      </c>
      <c r="G301" t="str">
        <f>PPR!I235</f>
        <v>unitario</v>
      </c>
      <c r="H301">
        <f>IFERROR(IF(PPR!J235="",0,PPR!J235),0)</f>
        <v>0</v>
      </c>
      <c r="I301" s="58" t="str">
        <f>IF(H301&gt;0, MAX(I$1:I300)+1, "")</f>
        <v/>
      </c>
    </row>
    <row r="302" spans="1:9" x14ac:dyDescent="0.2">
      <c r="A302" t="s">
        <v>1441</v>
      </c>
      <c r="B302" t="str">
        <f>PPR!A236</f>
        <v>Conducción Fluidos</v>
      </c>
      <c r="C302" t="str">
        <f>PPR!B236</f>
        <v>PP-R</v>
      </c>
      <c r="D302">
        <f>PPR!F236</f>
        <v>331502</v>
      </c>
      <c r="E302" t="str">
        <f>PPR!G236</f>
        <v>PPR FT TAPA 20 I</v>
      </c>
      <c r="F302">
        <f>PPR!H236</f>
        <v>50</v>
      </c>
      <c r="G302" t="str">
        <f>PPR!I236</f>
        <v>Bolsa</v>
      </c>
      <c r="H302">
        <f>IFERROR(IF(PPR!J236="",0,PPR!J236),0)</f>
        <v>0</v>
      </c>
      <c r="I302" s="58" t="str">
        <f>IF(H302&gt;0, MAX(I$1:I301)+1, "")</f>
        <v/>
      </c>
    </row>
    <row r="303" spans="1:9" x14ac:dyDescent="0.2">
      <c r="A303" t="s">
        <v>1441</v>
      </c>
      <c r="B303" t="str">
        <f>PPR!A237</f>
        <v>Conducción Fluidos</v>
      </c>
      <c r="C303" t="str">
        <f>PPR!B237</f>
        <v>PP-R</v>
      </c>
      <c r="D303">
        <f>PPR!F237</f>
        <v>331503</v>
      </c>
      <c r="E303" t="str">
        <f>PPR!G237</f>
        <v>PPR FT TAPA 25 I</v>
      </c>
      <c r="F303">
        <f>PPR!H237</f>
        <v>50</v>
      </c>
      <c r="G303" t="str">
        <f>PPR!I237</f>
        <v>Bolsa</v>
      </c>
      <c r="H303">
        <f>IFERROR(IF(PPR!J237="",0,PPR!J237),0)</f>
        <v>0</v>
      </c>
      <c r="I303" s="58" t="str">
        <f>IF(H303&gt;0, MAX(I$1:I302)+1, "")</f>
        <v/>
      </c>
    </row>
    <row r="304" spans="1:9" x14ac:dyDescent="0.2">
      <c r="A304" t="s">
        <v>1441</v>
      </c>
      <c r="B304" t="str">
        <f>PPR!A238</f>
        <v>Conducción Fluidos</v>
      </c>
      <c r="C304" t="str">
        <f>PPR!B238</f>
        <v>PP-R</v>
      </c>
      <c r="D304">
        <f>PPR!F238</f>
        <v>331504</v>
      </c>
      <c r="E304" t="str">
        <f>PPR!G238</f>
        <v>PPR FT TAPA 32 I</v>
      </c>
      <c r="F304">
        <f>PPR!H238</f>
        <v>35</v>
      </c>
      <c r="G304" t="str">
        <f>PPR!I238</f>
        <v>Bolsa</v>
      </c>
      <c r="H304">
        <f>IFERROR(IF(PPR!J238="",0,PPR!J238),0)</f>
        <v>0</v>
      </c>
      <c r="I304" s="58" t="str">
        <f>IF(H304&gt;0, MAX(I$1:I303)+1, "")</f>
        <v/>
      </c>
    </row>
    <row r="305" spans="1:9" x14ac:dyDescent="0.2">
      <c r="A305" t="s">
        <v>1441</v>
      </c>
      <c r="B305" t="str">
        <f>PPR!A239</f>
        <v>Conducción Fluidos</v>
      </c>
      <c r="C305" t="str">
        <f>PPR!B239</f>
        <v>PP-R</v>
      </c>
      <c r="D305">
        <f>PPR!F239</f>
        <v>331505</v>
      </c>
      <c r="E305" t="str">
        <f>PPR!G239</f>
        <v>PPR FT TAPA 40 I</v>
      </c>
      <c r="F305">
        <f>PPR!H239</f>
        <v>10</v>
      </c>
      <c r="G305" t="str">
        <f>PPR!I239</f>
        <v>Bolsa</v>
      </c>
      <c r="H305">
        <f>IFERROR(IF(PPR!J239="",0,PPR!J239),0)</f>
        <v>0</v>
      </c>
      <c r="I305" s="58" t="str">
        <f>IF(H305&gt;0, MAX(I$1:I304)+1, "")</f>
        <v/>
      </c>
    </row>
    <row r="306" spans="1:9" x14ac:dyDescent="0.2">
      <c r="A306" t="s">
        <v>1441</v>
      </c>
      <c r="B306" t="str">
        <f>PPR!A240</f>
        <v>Conducción Fluidos</v>
      </c>
      <c r="C306" t="str">
        <f>PPR!B240</f>
        <v>PP-R</v>
      </c>
      <c r="D306">
        <f>PPR!F240</f>
        <v>331506</v>
      </c>
      <c r="E306" t="str">
        <f>PPR!G240</f>
        <v>PPR FT TAPA 50 I</v>
      </c>
      <c r="F306">
        <f>PPR!H240</f>
        <v>12</v>
      </c>
      <c r="G306" t="str">
        <f>PPR!I240</f>
        <v>Bolsa</v>
      </c>
      <c r="H306">
        <f>IFERROR(IF(PPR!J240="",0,PPR!J240),0)</f>
        <v>0</v>
      </c>
      <c r="I306" s="58" t="str">
        <f>IF(H306&gt;0, MAX(I$1:I305)+1, "")</f>
        <v/>
      </c>
    </row>
    <row r="307" spans="1:9" x14ac:dyDescent="0.2">
      <c r="A307" t="s">
        <v>1441</v>
      </c>
      <c r="B307" t="str">
        <f>PPR!A241</f>
        <v>Conducción Fluidos</v>
      </c>
      <c r="C307" t="str">
        <f>PPR!B241</f>
        <v>PP-R</v>
      </c>
      <c r="D307">
        <f>PPR!F241</f>
        <v>331507</v>
      </c>
      <c r="E307" t="str">
        <f>PPR!G241</f>
        <v>PPR FT TAPA 63 I</v>
      </c>
      <c r="F307">
        <f>PPR!H241</f>
        <v>10</v>
      </c>
      <c r="G307" t="str">
        <f>PPR!I241</f>
        <v>Bolsa</v>
      </c>
      <c r="H307">
        <f>IFERROR(IF(PPR!J241="",0,PPR!J241),0)</f>
        <v>0</v>
      </c>
      <c r="I307" s="58" t="str">
        <f>IF(H307&gt;0, MAX(I$1:I306)+1, "")</f>
        <v/>
      </c>
    </row>
    <row r="308" spans="1:9" x14ac:dyDescent="0.2">
      <c r="A308" t="s">
        <v>1441</v>
      </c>
      <c r="B308" t="str">
        <f>PPR!A242</f>
        <v>Conducción Fluidos</v>
      </c>
      <c r="C308" t="str">
        <f>PPR!B242</f>
        <v>PP-R</v>
      </c>
      <c r="D308">
        <f>PPR!F242</f>
        <v>331508</v>
      </c>
      <c r="E308" t="str">
        <f>PPR!G242</f>
        <v>PPR FT TAPA 75 I</v>
      </c>
      <c r="F308">
        <f>PPR!H242</f>
        <v>6</v>
      </c>
      <c r="G308" t="str">
        <f>PPR!I242</f>
        <v>Bolsa</v>
      </c>
      <c r="H308">
        <f>IFERROR(IF(PPR!J242="",0,PPR!J242),0)</f>
        <v>0</v>
      </c>
      <c r="I308" s="58" t="str">
        <f>IF(H308&gt;0, MAX(I$1:I307)+1, "")</f>
        <v/>
      </c>
    </row>
    <row r="309" spans="1:9" x14ac:dyDescent="0.2">
      <c r="A309" t="s">
        <v>1441</v>
      </c>
      <c r="B309" t="str">
        <f>PPR!A243</f>
        <v>Conducción Fluidos</v>
      </c>
      <c r="C309" t="str">
        <f>PPR!B243</f>
        <v>PP-R</v>
      </c>
      <c r="D309">
        <f>PPR!F243</f>
        <v>331509</v>
      </c>
      <c r="E309" t="str">
        <f>PPR!G243</f>
        <v>PPR FT TAPA 90 I</v>
      </c>
      <c r="F309">
        <f>PPR!H243</f>
        <v>1</v>
      </c>
      <c r="G309" t="str">
        <f>PPR!I243</f>
        <v>Bolsa</v>
      </c>
      <c r="H309">
        <f>IFERROR(IF(PPR!J243="",0,PPR!J243),0)</f>
        <v>0</v>
      </c>
      <c r="I309" s="58" t="str">
        <f>IF(H309&gt;0, MAX(I$1:I308)+1, "")</f>
        <v/>
      </c>
    </row>
    <row r="310" spans="1:9" x14ac:dyDescent="0.2">
      <c r="A310" t="s">
        <v>1441</v>
      </c>
      <c r="B310" t="str">
        <f>PPR!A244</f>
        <v>Conducción Fluidos</v>
      </c>
      <c r="C310" t="str">
        <f>PPR!B244</f>
        <v>PP-R</v>
      </c>
      <c r="D310">
        <f>PPR!F244</f>
        <v>331510</v>
      </c>
      <c r="E310" t="str">
        <f>PPR!G244</f>
        <v>PPR FT TAPA 110 I</v>
      </c>
      <c r="F310">
        <f>PPR!H244</f>
        <v>1</v>
      </c>
      <c r="G310" t="str">
        <f>PPR!I244</f>
        <v>unitario</v>
      </c>
      <c r="H310">
        <f>IFERROR(IF(PPR!J244="",0,PPR!J244),0)</f>
        <v>0</v>
      </c>
      <c r="I310" s="58" t="str">
        <f>IF(H310&gt;0, MAX(I$1:I309)+1, "")</f>
        <v/>
      </c>
    </row>
    <row r="311" spans="1:9" x14ac:dyDescent="0.2">
      <c r="A311" t="s">
        <v>1441</v>
      </c>
      <c r="B311" t="str">
        <f>PPR!A245</f>
        <v>Conducción Fluidos</v>
      </c>
      <c r="C311" t="str">
        <f>PPR!B245</f>
        <v>PP-R</v>
      </c>
      <c r="D311">
        <f>PPR!F245</f>
        <v>33801</v>
      </c>
      <c r="E311" t="str">
        <f>PPR!G245</f>
        <v>PPR FT TAPA HE 1/2' N</v>
      </c>
      <c r="F311">
        <f>PPR!H245</f>
        <v>50</v>
      </c>
      <c r="G311" t="str">
        <f>PPR!I245</f>
        <v>Bolsa</v>
      </c>
      <c r="H311">
        <f>IFERROR(IF(PPR!J245="",0,PPR!J245),0)</f>
        <v>0</v>
      </c>
      <c r="I311" s="58" t="str">
        <f>IF(H311&gt;0, MAX(I$1:I310)+1, "")</f>
        <v/>
      </c>
    </row>
    <row r="312" spans="1:9" x14ac:dyDescent="0.2">
      <c r="A312" t="s">
        <v>1441</v>
      </c>
      <c r="B312" t="str">
        <f>PPR!A246</f>
        <v>Conducción Fluidos</v>
      </c>
      <c r="C312" t="str">
        <f>PPR!B246</f>
        <v>PP-R</v>
      </c>
      <c r="D312">
        <f>PPR!F246</f>
        <v>33802</v>
      </c>
      <c r="E312" t="str">
        <f>PPR!G246</f>
        <v>PPR FT TAPA HE 3/4' N</v>
      </c>
      <c r="F312">
        <f>PPR!H246</f>
        <v>50</v>
      </c>
      <c r="G312" t="str">
        <f>PPR!I246</f>
        <v>Bolsa</v>
      </c>
      <c r="H312">
        <f>IFERROR(IF(PPR!J246="",0,PPR!J246),0)</f>
        <v>0</v>
      </c>
      <c r="I312" s="58" t="str">
        <f>IF(H312&gt;0, MAX(I$1:I311)+1, "")</f>
        <v/>
      </c>
    </row>
    <row r="313" spans="1:9" x14ac:dyDescent="0.2">
      <c r="A313" t="s">
        <v>1441</v>
      </c>
      <c r="B313" t="str">
        <f>PPR!A247</f>
        <v>Conducción Fluidos</v>
      </c>
      <c r="C313" t="str">
        <f>PPR!B247</f>
        <v>PP-R</v>
      </c>
      <c r="D313">
        <f>PPR!F247</f>
        <v>333803</v>
      </c>
      <c r="E313" t="str">
        <f>PPR!G247</f>
        <v>PPR FT TAPA HE 1/2' I</v>
      </c>
      <c r="F313">
        <f>PPR!H247</f>
        <v>50</v>
      </c>
      <c r="G313" t="str">
        <f>PPR!I247</f>
        <v>Bolsa</v>
      </c>
      <c r="H313">
        <f>IFERROR(IF(PPR!J247="",0,PPR!J247),0)</f>
        <v>0</v>
      </c>
      <c r="I313" s="58" t="str">
        <f>IF(H313&gt;0, MAX(I$1:I312)+1, "")</f>
        <v/>
      </c>
    </row>
    <row r="314" spans="1:9" x14ac:dyDescent="0.2">
      <c r="A314" t="s">
        <v>1441</v>
      </c>
      <c r="B314" t="str">
        <f>PPR!A248</f>
        <v>Conducción Fluidos</v>
      </c>
      <c r="C314" t="str">
        <f>PPR!B248</f>
        <v>PP-R</v>
      </c>
      <c r="D314">
        <f>PPR!F248</f>
        <v>333804</v>
      </c>
      <c r="E314" t="str">
        <f>PPR!G248</f>
        <v>PPR FT TAPA HE 3/4' I</v>
      </c>
      <c r="F314">
        <f>PPR!H248</f>
        <v>50</v>
      </c>
      <c r="G314" t="str">
        <f>PPR!I248</f>
        <v>Bolsa</v>
      </c>
      <c r="H314">
        <f>IFERROR(IF(PPR!J248="",0,PPR!J248),0)</f>
        <v>0</v>
      </c>
      <c r="I314" s="58" t="str">
        <f>IF(H314&gt;0, MAX(I$1:I313)+1, "")</f>
        <v/>
      </c>
    </row>
    <row r="315" spans="1:9" x14ac:dyDescent="0.2">
      <c r="A315" t="s">
        <v>1441</v>
      </c>
      <c r="B315" t="str">
        <f>PPR!A249</f>
        <v>Conducción Fluidos</v>
      </c>
      <c r="C315" t="str">
        <f>PPR!B249</f>
        <v>PP-R</v>
      </c>
      <c r="D315">
        <f>PPR!F249</f>
        <v>333501</v>
      </c>
      <c r="E315" t="str">
        <f>PPR!G249</f>
        <v>PPR FT ABRAZADERA EMPALM 16-20 I</v>
      </c>
      <c r="F315">
        <f>PPR!H249</f>
        <v>100</v>
      </c>
      <c r="G315" t="str">
        <f>PPR!I249</f>
        <v>Bolsa</v>
      </c>
      <c r="H315">
        <f>IFERROR(IF(PPR!J249="",0,PPR!J249),0)</f>
        <v>0</v>
      </c>
      <c r="I315" s="58" t="str">
        <f>IF(H315&gt;0, MAX(I$1:I314)+1, "")</f>
        <v/>
      </c>
    </row>
    <row r="316" spans="1:9" x14ac:dyDescent="0.2">
      <c r="A316" t="s">
        <v>1441</v>
      </c>
      <c r="B316" t="str">
        <f>PPR!A250</f>
        <v>Conducción Fluidos</v>
      </c>
      <c r="C316" t="str">
        <f>PPR!B250</f>
        <v>PP-R</v>
      </c>
      <c r="D316">
        <f>PPR!F250</f>
        <v>333502</v>
      </c>
      <c r="E316" t="str">
        <f>PPR!G250</f>
        <v>PPR FT ABRAZADERA EMPALM 25 I</v>
      </c>
      <c r="F316">
        <f>PPR!H250</f>
        <v>100</v>
      </c>
      <c r="G316" t="str">
        <f>PPR!I250</f>
        <v>Bolsa</v>
      </c>
      <c r="H316">
        <f>IFERROR(IF(PPR!J250="",0,PPR!J250),0)</f>
        <v>0</v>
      </c>
      <c r="I316" s="58" t="str">
        <f>IF(H316&gt;0, MAX(I$1:I315)+1, "")</f>
        <v/>
      </c>
    </row>
    <row r="317" spans="1:9" x14ac:dyDescent="0.2">
      <c r="A317" t="s">
        <v>1441</v>
      </c>
      <c r="B317" t="str">
        <f>PPR!A251</f>
        <v>Conducción Fluidos</v>
      </c>
      <c r="C317" t="str">
        <f>PPR!B251</f>
        <v>PP-R</v>
      </c>
      <c r="D317">
        <f>PPR!F251</f>
        <v>333503</v>
      </c>
      <c r="E317" t="str">
        <f>PPR!G251</f>
        <v>PPR FT ABRAZADERA EMPALM 32 I</v>
      </c>
      <c r="F317">
        <f>PPR!H251</f>
        <v>50</v>
      </c>
      <c r="G317" t="str">
        <f>PPR!I251</f>
        <v>Bolsa</v>
      </c>
      <c r="H317">
        <f>IFERROR(IF(PPR!J251="",0,PPR!J251),0)</f>
        <v>0</v>
      </c>
      <c r="I317" s="58" t="str">
        <f>IF(H317&gt;0, MAX(I$1:I316)+1, "")</f>
        <v/>
      </c>
    </row>
    <row r="318" spans="1:9" x14ac:dyDescent="0.2">
      <c r="A318" t="s">
        <v>1441</v>
      </c>
      <c r="B318" t="str">
        <f>PPR!A252</f>
        <v>Conducción Fluidos</v>
      </c>
      <c r="C318" t="str">
        <f>PPR!B252</f>
        <v>PP-R</v>
      </c>
      <c r="D318">
        <f>PPR!F252</f>
        <v>333504</v>
      </c>
      <c r="E318" t="str">
        <f>PPR!G252</f>
        <v>PPR FT ABRAZADERA EMPALM 40 I</v>
      </c>
      <c r="F318">
        <f>PPR!H252</f>
        <v>20</v>
      </c>
      <c r="G318" t="str">
        <f>PPR!I252</f>
        <v>Bolsa</v>
      </c>
      <c r="H318">
        <f>IFERROR(IF(PPR!J252="",0,PPR!J252),0)</f>
        <v>0</v>
      </c>
      <c r="I318" s="58" t="str">
        <f>IF(H318&gt;0, MAX(I$1:I317)+1, "")</f>
        <v/>
      </c>
    </row>
    <row r="319" spans="1:9" x14ac:dyDescent="0.2">
      <c r="A319" t="s">
        <v>1441</v>
      </c>
      <c r="B319" t="str">
        <f>PPR!A253</f>
        <v>Conducción Fluidos</v>
      </c>
      <c r="C319" t="str">
        <f>PPR!B253</f>
        <v>PP-R</v>
      </c>
      <c r="D319">
        <f>PPR!F253</f>
        <v>333505</v>
      </c>
      <c r="E319" t="str">
        <f>PPR!G253</f>
        <v>PPR FT ABRAZADERA EMPALM 50 I</v>
      </c>
      <c r="F319">
        <f>PPR!H253</f>
        <v>20</v>
      </c>
      <c r="G319" t="str">
        <f>PPR!I253</f>
        <v>Bolsa</v>
      </c>
      <c r="H319">
        <f>IFERROR(IF(PPR!J253="",0,PPR!J253),0)</f>
        <v>0</v>
      </c>
      <c r="I319" s="58" t="str">
        <f>IF(H319&gt;0, MAX(I$1:I318)+1, "")</f>
        <v/>
      </c>
    </row>
    <row r="320" spans="1:9" x14ac:dyDescent="0.2">
      <c r="A320" t="s">
        <v>1441</v>
      </c>
      <c r="B320" t="str">
        <f>PPR!A254</f>
        <v>Conducción Fluidos</v>
      </c>
      <c r="C320" t="str">
        <f>PPR!B254</f>
        <v>PP-R</v>
      </c>
      <c r="D320">
        <f>PPR!F254</f>
        <v>333506</v>
      </c>
      <c r="E320" t="str">
        <f>PPR!G254</f>
        <v>PPR FT ABRAZADERA EMPALM 63 I</v>
      </c>
      <c r="F320">
        <f>PPR!H254</f>
        <v>20</v>
      </c>
      <c r="G320" t="str">
        <f>PPR!I254</f>
        <v>Bolsa</v>
      </c>
      <c r="H320">
        <f>IFERROR(IF(PPR!J254="",0,PPR!J254),0)</f>
        <v>0</v>
      </c>
      <c r="I320" s="58" t="str">
        <f>IF(H320&gt;0, MAX(I$1:I319)+1, "")</f>
        <v/>
      </c>
    </row>
    <row r="321" spans="1:9" x14ac:dyDescent="0.2">
      <c r="A321" t="s">
        <v>1441</v>
      </c>
      <c r="B321" t="str">
        <f>PPR!A255</f>
        <v>Conducción Fluidos</v>
      </c>
      <c r="C321" t="str">
        <f>PPR!B255</f>
        <v>PP-R</v>
      </c>
      <c r="D321">
        <f>PPR!F255</f>
        <v>333901</v>
      </c>
      <c r="E321" t="str">
        <f>PPR!G255</f>
        <v>PPR FT PASATUBO 20 I</v>
      </c>
      <c r="F321">
        <f>PPR!H255</f>
        <v>10</v>
      </c>
      <c r="G321" t="str">
        <f>PPR!I255</f>
        <v>Bolsa</v>
      </c>
      <c r="H321">
        <f>IFERROR(IF(PPR!J255="",0,PPR!J255),0)</f>
        <v>0</v>
      </c>
      <c r="I321" s="58" t="str">
        <f>IF(H321&gt;0, MAX(I$1:I320)+1, "")</f>
        <v/>
      </c>
    </row>
    <row r="322" spans="1:9" x14ac:dyDescent="0.2">
      <c r="A322" t="s">
        <v>1441</v>
      </c>
      <c r="B322" t="str">
        <f>PPR!A256</f>
        <v>Conducción Fluidos</v>
      </c>
      <c r="C322" t="str">
        <f>PPR!B256</f>
        <v>PP-R</v>
      </c>
      <c r="D322">
        <f>PPR!F256</f>
        <v>333902</v>
      </c>
      <c r="E322" t="str">
        <f>PPR!G256</f>
        <v>PPR FT PASATUBO 25 I</v>
      </c>
      <c r="F322">
        <f>PPR!H256</f>
        <v>10</v>
      </c>
      <c r="G322" t="str">
        <f>PPR!I256</f>
        <v>Bolsa</v>
      </c>
      <c r="H322">
        <f>IFERROR(IF(PPR!J256="",0,PPR!J256),0)</f>
        <v>0</v>
      </c>
      <c r="I322" s="58" t="str">
        <f>IF(H322&gt;0, MAX(I$1:I321)+1, "")</f>
        <v/>
      </c>
    </row>
    <row r="323" spans="1:9" x14ac:dyDescent="0.2">
      <c r="A323" t="s">
        <v>1441</v>
      </c>
      <c r="B323" t="str">
        <f>PPR!A257</f>
        <v>Conducción Fluidos</v>
      </c>
      <c r="C323" t="str">
        <f>PPR!B257</f>
        <v>PP-R</v>
      </c>
      <c r="D323">
        <f>PPR!F257</f>
        <v>333903</v>
      </c>
      <c r="E323" t="str">
        <f>PPR!G257</f>
        <v>PPR FT PASATUBO 32 I</v>
      </c>
      <c r="F323">
        <f>PPR!H257</f>
        <v>5</v>
      </c>
      <c r="G323" t="str">
        <f>PPR!I257</f>
        <v>Bolsa</v>
      </c>
      <c r="H323">
        <f>IFERROR(IF(PPR!J257="",0,PPR!J257),0)</f>
        <v>0</v>
      </c>
      <c r="I323" s="58" t="str">
        <f>IF(H323&gt;0, MAX(I$1:I322)+1, "")</f>
        <v/>
      </c>
    </row>
    <row r="324" spans="1:9" x14ac:dyDescent="0.2">
      <c r="A324" t="s">
        <v>1441</v>
      </c>
      <c r="B324" t="str">
        <f>PPR!A258</f>
        <v>Conducción Fluidos</v>
      </c>
      <c r="C324" t="str">
        <f>PPR!B258</f>
        <v>PP-R</v>
      </c>
      <c r="D324">
        <f>PPR!F258</f>
        <v>333002</v>
      </c>
      <c r="E324" t="str">
        <f>PPR!G258</f>
        <v>PPR LL/V LLAVE PASO CROM VAST CORTO 20 I</v>
      </c>
      <c r="F324">
        <f>PPR!H258</f>
        <v>10</v>
      </c>
      <c r="G324" t="str">
        <f>PPR!I258</f>
        <v>Bolsa</v>
      </c>
      <c r="H324">
        <f>IFERROR(IF(PPR!J258="",0,PPR!J258),0)</f>
        <v>0</v>
      </c>
      <c r="I324" s="58" t="str">
        <f>IF(H324&gt;0, MAX(I$1:I323)+1, "")</f>
        <v/>
      </c>
    </row>
    <row r="325" spans="1:9" x14ac:dyDescent="0.2">
      <c r="A325" t="s">
        <v>1441</v>
      </c>
      <c r="B325" t="str">
        <f>PPR!A259</f>
        <v>Conducción Fluidos</v>
      </c>
      <c r="C325" t="str">
        <f>PPR!B259</f>
        <v>PP-R</v>
      </c>
      <c r="D325">
        <f>PPR!F259</f>
        <v>333003</v>
      </c>
      <c r="E325" t="str">
        <f>PPR!G259</f>
        <v>PPR LL/V LLAVE PASO CROM VAST CORTO 25 I</v>
      </c>
      <c r="F325">
        <f>PPR!H259</f>
        <v>10</v>
      </c>
      <c r="G325" t="str">
        <f>PPR!I259</f>
        <v>Bolsa</v>
      </c>
      <c r="H325">
        <f>IFERROR(IF(PPR!J259="",0,PPR!J259),0)</f>
        <v>0</v>
      </c>
      <c r="I325" s="58" t="str">
        <f>IF(H325&gt;0, MAX(I$1:I324)+1, "")</f>
        <v/>
      </c>
    </row>
    <row r="326" spans="1:9" x14ac:dyDescent="0.2">
      <c r="A326" t="s">
        <v>1441</v>
      </c>
      <c r="B326" t="str">
        <f>PPR!A260</f>
        <v>Conducción Fluidos</v>
      </c>
      <c r="C326" t="str">
        <f>PPR!B260</f>
        <v>PP-R</v>
      </c>
      <c r="D326">
        <f>PPR!F260</f>
        <v>333004</v>
      </c>
      <c r="E326" t="str">
        <f>PPR!G260</f>
        <v>PPR LL/V LLAVE PASO CROM VAST CORTO 32 I</v>
      </c>
      <c r="F326">
        <f>PPR!H260</f>
        <v>10</v>
      </c>
      <c r="G326" t="str">
        <f>PPR!I260</f>
        <v>Bolsa</v>
      </c>
      <c r="H326">
        <f>IFERROR(IF(PPR!J260="",0,PPR!J260),0)</f>
        <v>0</v>
      </c>
      <c r="I326" s="58" t="str">
        <f>IF(H326&gt;0, MAX(I$1:I325)+1, "")</f>
        <v/>
      </c>
    </row>
    <row r="327" spans="1:9" x14ac:dyDescent="0.2">
      <c r="A327" t="s">
        <v>1441</v>
      </c>
      <c r="B327" t="str">
        <f>PPR!A261</f>
        <v>Conducción Fluidos</v>
      </c>
      <c r="C327" t="str">
        <f>PPR!B261</f>
        <v>PP-R</v>
      </c>
      <c r="D327">
        <f>PPR!F261</f>
        <v>333032</v>
      </c>
      <c r="E327" t="str">
        <f>PPR!G261</f>
        <v>PPR LL/V LLAVE PASO CROM VAST LARGO 20 I</v>
      </c>
      <c r="F327">
        <f>PPR!H261</f>
        <v>1</v>
      </c>
      <c r="G327" t="str">
        <f>PPR!I261</f>
        <v>Bolsa</v>
      </c>
      <c r="H327">
        <f>IFERROR(IF(PPR!J261="",0,PPR!J261),0)</f>
        <v>0</v>
      </c>
      <c r="I327" s="58" t="str">
        <f>IF(H327&gt;0, MAX(I$1:I326)+1, "")</f>
        <v/>
      </c>
    </row>
    <row r="328" spans="1:9" x14ac:dyDescent="0.2">
      <c r="A328" t="s">
        <v>1441</v>
      </c>
      <c r="B328" t="str">
        <f>PPR!A262</f>
        <v>Conducción Fluidos</v>
      </c>
      <c r="C328" t="str">
        <f>PPR!B262</f>
        <v>PP-R</v>
      </c>
      <c r="D328">
        <f>PPR!F262</f>
        <v>333033</v>
      </c>
      <c r="E328" t="str">
        <f>PPR!G262</f>
        <v>PPR LL/V LLAVE PASO CROM VAST LARGO 25 I</v>
      </c>
      <c r="F328">
        <f>PPR!H262</f>
        <v>1</v>
      </c>
      <c r="G328" t="str">
        <f>PPR!I262</f>
        <v>Bolsa</v>
      </c>
      <c r="H328">
        <f>IFERROR(IF(PPR!J262="",0,PPR!J262),0)</f>
        <v>0</v>
      </c>
      <c r="I328" s="58" t="str">
        <f>IF(H328&gt;0, MAX(I$1:I327)+1, "")</f>
        <v/>
      </c>
    </row>
    <row r="329" spans="1:9" x14ac:dyDescent="0.2">
      <c r="A329" t="s">
        <v>1441</v>
      </c>
      <c r="B329" t="str">
        <f>PPR!A263</f>
        <v>Conducción Fluidos</v>
      </c>
      <c r="C329" t="str">
        <f>PPR!B263</f>
        <v>PP-R</v>
      </c>
      <c r="D329">
        <f>PPR!F263</f>
        <v>333203</v>
      </c>
      <c r="E329" t="str">
        <f>PPR!G263</f>
        <v>PPR LL/V LLAVE PASO MET.AZUL 25 I</v>
      </c>
      <c r="F329">
        <f>PPR!H263</f>
        <v>10</v>
      </c>
      <c r="G329" t="str">
        <f>PPR!I263</f>
        <v>Bolsa</v>
      </c>
      <c r="H329">
        <f>IFERROR(IF(PPR!J263="",0,PPR!J263),0)</f>
        <v>0</v>
      </c>
      <c r="I329" s="58" t="str">
        <f>IF(H329&gt;0, MAX(I$1:I328)+1, "")</f>
        <v/>
      </c>
    </row>
    <row r="330" spans="1:9" x14ac:dyDescent="0.2">
      <c r="A330" t="s">
        <v>1441</v>
      </c>
      <c r="B330" t="str">
        <f>PPR!A264</f>
        <v>Conducción Fluidos</v>
      </c>
      <c r="C330" t="str">
        <f>PPR!B264</f>
        <v>PP-R</v>
      </c>
      <c r="D330">
        <f>PPR!F264</f>
        <v>333204</v>
      </c>
      <c r="E330" t="str">
        <f>PPR!G264</f>
        <v>PPR LL/V LLAVE PASO MET.AZUL 32 I</v>
      </c>
      <c r="F330">
        <f>PPR!H264</f>
        <v>10</v>
      </c>
      <c r="G330" t="str">
        <f>PPR!I264</f>
        <v>Bolsa</v>
      </c>
      <c r="H330">
        <f>IFERROR(IF(PPR!J264="",0,PPR!J264),0)</f>
        <v>0</v>
      </c>
      <c r="I330" s="58" t="str">
        <f>IF(H330&gt;0, MAX(I$1:I329)+1, "")</f>
        <v/>
      </c>
    </row>
    <row r="331" spans="1:9" x14ac:dyDescent="0.2">
      <c r="A331" t="s">
        <v>1441</v>
      </c>
      <c r="B331" t="str">
        <f>PPR!A265</f>
        <v>Conducción Fluidos</v>
      </c>
      <c r="C331" t="str">
        <f>PPR!B265</f>
        <v>PP-R</v>
      </c>
      <c r="D331">
        <f>PPR!F265</f>
        <v>333303</v>
      </c>
      <c r="E331" t="str">
        <f>PPR!G265</f>
        <v>PPR LL/V LLAVE PASO MET.ROJO 25 I</v>
      </c>
      <c r="F331">
        <f>PPR!H265</f>
        <v>10</v>
      </c>
      <c r="G331" t="str">
        <f>PPR!I265</f>
        <v>Bolsa</v>
      </c>
      <c r="H331">
        <f>IFERROR(IF(PPR!J265="",0,PPR!J265),0)</f>
        <v>0</v>
      </c>
      <c r="I331" s="58" t="str">
        <f>IF(H331&gt;0, MAX(I$1:I330)+1, "")</f>
        <v/>
      </c>
    </row>
    <row r="332" spans="1:9" x14ac:dyDescent="0.2">
      <c r="A332" t="s">
        <v>1441</v>
      </c>
      <c r="B332" t="str">
        <f>PPR!A266</f>
        <v>Conducción Fluidos</v>
      </c>
      <c r="C332" t="str">
        <f>PPR!B266</f>
        <v>PP-R</v>
      </c>
      <c r="D332">
        <f>PPR!F266</f>
        <v>333304</v>
      </c>
      <c r="E332" t="str">
        <f>PPR!G266</f>
        <v>PPR LL/V LLAVE PASO MET.ROJO 32 I</v>
      </c>
      <c r="F332">
        <f>PPR!H266</f>
        <v>10</v>
      </c>
      <c r="G332" t="str">
        <f>PPR!I266</f>
        <v>Bolsa</v>
      </c>
      <c r="H332">
        <f>IFERROR(IF(PPR!J266="",0,PPR!J266),0)</f>
        <v>0</v>
      </c>
      <c r="I332" s="58" t="str">
        <f>IF(H332&gt;0, MAX(I$1:I331)+1, "")</f>
        <v/>
      </c>
    </row>
    <row r="333" spans="1:9" x14ac:dyDescent="0.2">
      <c r="A333" t="s">
        <v>1441</v>
      </c>
      <c r="B333" t="str">
        <f>PPR!A267</f>
        <v>Conducción Fluidos</v>
      </c>
      <c r="C333" t="str">
        <f>PPR!B267</f>
        <v>PP-R</v>
      </c>
      <c r="D333">
        <f>PPR!F267</f>
        <v>33042</v>
      </c>
      <c r="E333" t="str">
        <f>PPR!G267</f>
        <v>PPR LLAVE PASO CROMADA VAST CORT 20 CERT</v>
      </c>
      <c r="F333">
        <f>PPR!H267</f>
        <v>10</v>
      </c>
      <c r="G333" t="str">
        <f>PPR!I267</f>
        <v>Bolsa</v>
      </c>
      <c r="H333">
        <f>IFERROR(IF(PPR!J267="",0,PPR!J267),0)</f>
        <v>0</v>
      </c>
      <c r="I333" s="58" t="str">
        <f>IF(H333&gt;0, MAX(I$1:I332)+1, "")</f>
        <v/>
      </c>
    </row>
    <row r="334" spans="1:9" x14ac:dyDescent="0.2">
      <c r="A334" t="s">
        <v>1441</v>
      </c>
      <c r="B334" t="str">
        <f>PPR!A268</f>
        <v>Conducción Fluidos</v>
      </c>
      <c r="C334" t="str">
        <f>PPR!B268</f>
        <v>PP-R</v>
      </c>
      <c r="D334">
        <f>PPR!F268</f>
        <v>33043</v>
      </c>
      <c r="E334" t="str">
        <f>PPR!G268</f>
        <v>PPR LLAVE PASO CROMADA VAST CORT 25 CERT</v>
      </c>
      <c r="F334">
        <f>PPR!H268</f>
        <v>10</v>
      </c>
      <c r="G334" t="str">
        <f>PPR!I268</f>
        <v>Bolsa</v>
      </c>
      <c r="H334">
        <f>IFERROR(IF(PPR!J268="",0,PPR!J268),0)</f>
        <v>0</v>
      </c>
      <c r="I334" s="58" t="str">
        <f>IF(H334&gt;0, MAX(I$1:I333)+1, "")</f>
        <v/>
      </c>
    </row>
    <row r="335" spans="1:9" x14ac:dyDescent="0.2">
      <c r="A335" t="s">
        <v>1441</v>
      </c>
      <c r="B335" t="str">
        <f>PPR!A269</f>
        <v>Conducción Fluidos</v>
      </c>
      <c r="C335" t="str">
        <f>PPR!B269</f>
        <v>PP-R</v>
      </c>
      <c r="D335">
        <f>PPR!F269</f>
        <v>33044</v>
      </c>
      <c r="E335" t="str">
        <f>PPR!G269</f>
        <v>PPR LLAVE PASO CROMADA VAST CORT 32 CERT</v>
      </c>
      <c r="F335">
        <f>PPR!H269</f>
        <v>10</v>
      </c>
      <c r="G335" t="str">
        <f>PPR!I269</f>
        <v>Bolsa</v>
      </c>
      <c r="H335">
        <f>IFERROR(IF(PPR!J269="",0,PPR!J269),0)</f>
        <v>0</v>
      </c>
      <c r="I335" s="58" t="str">
        <f>IF(H335&gt;0, MAX(I$1:I334)+1, "")</f>
        <v/>
      </c>
    </row>
    <row r="336" spans="1:9" x14ac:dyDescent="0.2">
      <c r="A336" t="s">
        <v>1441</v>
      </c>
      <c r="B336" t="str">
        <f>PPR!A270</f>
        <v>Conducción Fluidos</v>
      </c>
      <c r="C336" t="str">
        <f>PPR!B270</f>
        <v>PP-R</v>
      </c>
      <c r="D336">
        <f>PPR!F270</f>
        <v>33052</v>
      </c>
      <c r="E336" t="str">
        <f>PPR!G270</f>
        <v>PPR LLAVE PASO MAN.MET AZUL CORT 20 CERT</v>
      </c>
      <c r="F336">
        <f>PPR!H270</f>
        <v>10</v>
      </c>
      <c r="G336" t="str">
        <f>PPR!I270</f>
        <v>Bolsa</v>
      </c>
      <c r="H336">
        <f>IFERROR(IF(PPR!J270="",0,PPR!J270),0)</f>
        <v>0</v>
      </c>
      <c r="I336" s="58" t="str">
        <f>IF(H336&gt;0, MAX(I$1:I335)+1, "")</f>
        <v/>
      </c>
    </row>
    <row r="337" spans="1:9" x14ac:dyDescent="0.2">
      <c r="A337" t="s">
        <v>1441</v>
      </c>
      <c r="B337" t="str">
        <f>PPR!A271</f>
        <v>Conducción Fluidos</v>
      </c>
      <c r="C337" t="str">
        <f>PPR!B271</f>
        <v>PP-R</v>
      </c>
      <c r="D337">
        <f>PPR!F271</f>
        <v>33053</v>
      </c>
      <c r="E337" t="str">
        <f>PPR!G271</f>
        <v>PPR LLAVE PASO MAN.MET AZUL CORT 25 CERT</v>
      </c>
      <c r="F337">
        <f>PPR!H271</f>
        <v>10</v>
      </c>
      <c r="G337" t="str">
        <f>PPR!I271</f>
        <v>Bolsa</v>
      </c>
      <c r="H337">
        <f>IFERROR(IF(PPR!J271="",0,PPR!J271),0)</f>
        <v>0</v>
      </c>
      <c r="I337" s="58" t="str">
        <f>IF(H337&gt;0, MAX(I$1:I336)+1, "")</f>
        <v/>
      </c>
    </row>
    <row r="338" spans="1:9" x14ac:dyDescent="0.2">
      <c r="A338" t="s">
        <v>1441</v>
      </c>
      <c r="B338" t="str">
        <f>PPR!A272</f>
        <v>Conducción Fluidos</v>
      </c>
      <c r="C338" t="str">
        <f>PPR!B272</f>
        <v>PP-R</v>
      </c>
      <c r="D338">
        <f>PPR!F272</f>
        <v>33054</v>
      </c>
      <c r="E338" t="str">
        <f>PPR!G272</f>
        <v>PPR LLAVE PASO MAN.MET AZUL CORT 32 CERT</v>
      </c>
      <c r="F338">
        <f>PPR!H272</f>
        <v>10</v>
      </c>
      <c r="G338" t="str">
        <f>PPR!I272</f>
        <v>Bolsa</v>
      </c>
      <c r="H338">
        <f>IFERROR(IF(PPR!J272="",0,PPR!J272),0)</f>
        <v>0</v>
      </c>
      <c r="I338" s="58" t="str">
        <f>IF(H338&gt;0, MAX(I$1:I337)+1, "")</f>
        <v/>
      </c>
    </row>
    <row r="339" spans="1:9" x14ac:dyDescent="0.2">
      <c r="A339" t="s">
        <v>1441</v>
      </c>
      <c r="B339" t="str">
        <f>PPR!A273</f>
        <v>Conducción Fluidos</v>
      </c>
      <c r="C339" t="str">
        <f>PPR!B273</f>
        <v>PP-R</v>
      </c>
      <c r="D339">
        <f>PPR!F273</f>
        <v>33062</v>
      </c>
      <c r="E339" t="str">
        <f>PPR!G273</f>
        <v>PPR LLAVE PASO MAN.MET ROJO CORT 20 CERT</v>
      </c>
      <c r="F339">
        <f>PPR!H273</f>
        <v>10</v>
      </c>
      <c r="G339" t="str">
        <f>PPR!I273</f>
        <v>Bolsa</v>
      </c>
      <c r="H339">
        <f>IFERROR(IF(PPR!J273="",0,PPR!J273),0)</f>
        <v>0</v>
      </c>
      <c r="I339" s="58" t="str">
        <f>IF(H339&gt;0, MAX(I$1:I338)+1, "")</f>
        <v/>
      </c>
    </row>
    <row r="340" spans="1:9" x14ac:dyDescent="0.2">
      <c r="A340" t="s">
        <v>1441</v>
      </c>
      <c r="B340" t="str">
        <f>PPR!A274</f>
        <v>Conducción Fluidos</v>
      </c>
      <c r="C340" t="str">
        <f>PPR!B274</f>
        <v>PP-R</v>
      </c>
      <c r="D340">
        <f>PPR!F274</f>
        <v>33063</v>
      </c>
      <c r="E340" t="str">
        <f>PPR!G274</f>
        <v>PPR LLAVE PASO MAN.MET ROJO CORT 25 CERT</v>
      </c>
      <c r="F340">
        <f>PPR!H274</f>
        <v>10</v>
      </c>
      <c r="G340" t="str">
        <f>PPR!I274</f>
        <v>Bolsa</v>
      </c>
      <c r="H340">
        <f>IFERROR(IF(PPR!J274="",0,PPR!J274),0)</f>
        <v>0</v>
      </c>
      <c r="I340" s="58" t="str">
        <f>IF(H340&gt;0, MAX(I$1:I339)+1, "")</f>
        <v/>
      </c>
    </row>
    <row r="341" spans="1:9" x14ac:dyDescent="0.2">
      <c r="A341" t="s">
        <v>1441</v>
      </c>
      <c r="B341" t="str">
        <f>PPR!A275</f>
        <v>Conducción Fluidos</v>
      </c>
      <c r="C341" t="str">
        <f>PPR!B275</f>
        <v>PP-R</v>
      </c>
      <c r="D341">
        <f>PPR!F275</f>
        <v>33064</v>
      </c>
      <c r="E341" t="str">
        <f>PPR!G275</f>
        <v>PPR LLAVE PASO MAN.MET ROJO CORT 32 CERT</v>
      </c>
      <c r="F341">
        <f>PPR!H275</f>
        <v>10</v>
      </c>
      <c r="G341" t="str">
        <f>PPR!I275</f>
        <v>Bolsa</v>
      </c>
      <c r="H341">
        <f>IFERROR(IF(PPR!J275="",0,PPR!J275),0)</f>
        <v>0</v>
      </c>
      <c r="I341" s="58" t="str">
        <f>IF(H341&gt;0, MAX(I$1:I340)+1, "")</f>
        <v/>
      </c>
    </row>
    <row r="342" spans="1:9" x14ac:dyDescent="0.2">
      <c r="A342" t="s">
        <v>1441</v>
      </c>
      <c r="B342" t="str">
        <f>PPR!A276</f>
        <v>Conducción Fluidos</v>
      </c>
      <c r="C342" t="str">
        <f>PPR!B276</f>
        <v>PP-R</v>
      </c>
      <c r="D342">
        <f>PPR!F276</f>
        <v>33402</v>
      </c>
      <c r="E342" t="str">
        <f>PPR!G276</f>
        <v>PPR LLAVE PASO MAND. PLASTICA 20 CERT FE</v>
      </c>
      <c r="F342">
        <f>PPR!H276</f>
        <v>10</v>
      </c>
      <c r="G342" t="str">
        <f>PPR!I276</f>
        <v>Bolsa</v>
      </c>
      <c r="H342">
        <f>IFERROR(IF(PPR!J276="",0,PPR!J276),0)</f>
        <v>0</v>
      </c>
      <c r="I342" s="58" t="str">
        <f>IF(H342&gt;0, MAX(I$1:I341)+1, "")</f>
        <v/>
      </c>
    </row>
    <row r="343" spans="1:9" x14ac:dyDescent="0.2">
      <c r="A343" t="s">
        <v>1441</v>
      </c>
      <c r="B343" t="str">
        <f>PPR!A277</f>
        <v>Conducción Fluidos</v>
      </c>
      <c r="C343" t="str">
        <f>PPR!B277</f>
        <v>PP-R</v>
      </c>
      <c r="D343">
        <f>PPR!F277</f>
        <v>33403</v>
      </c>
      <c r="E343" t="str">
        <f>PPR!G277</f>
        <v>PPR LLAVE PASO MAND. PLASTICA 25 CERT FE</v>
      </c>
      <c r="F343">
        <f>PPR!H277</f>
        <v>10</v>
      </c>
      <c r="G343" t="str">
        <f>PPR!I277</f>
        <v>Bolsa</v>
      </c>
      <c r="H343">
        <f>IFERROR(IF(PPR!J277="",0,PPR!J277),0)</f>
        <v>0</v>
      </c>
      <c r="I343" s="58" t="str">
        <f>IF(H343&gt;0, MAX(I$1:I342)+1, "")</f>
        <v/>
      </c>
    </row>
    <row r="344" spans="1:9" x14ac:dyDescent="0.2">
      <c r="A344" t="s">
        <v>1441</v>
      </c>
      <c r="B344" t="str">
        <f>PPR!A278</f>
        <v>Conducción Fluidos</v>
      </c>
      <c r="C344" t="str">
        <f>PPR!B278</f>
        <v>PP-R</v>
      </c>
      <c r="D344">
        <f>PPR!F278</f>
        <v>33404</v>
      </c>
      <c r="E344" t="str">
        <f>PPR!G278</f>
        <v>PPR LLAVE PASO MAND. PLASTICA 32 CERT FE</v>
      </c>
      <c r="F344">
        <f>PPR!H278</f>
        <v>10</v>
      </c>
      <c r="G344" t="str">
        <f>PPR!I278</f>
        <v>Bolsa</v>
      </c>
      <c r="H344">
        <f>IFERROR(IF(PPR!J278="",0,PPR!J278),0)</f>
        <v>0</v>
      </c>
      <c r="I344" s="58" t="str">
        <f>IF(H344&gt;0, MAX(I$1:I343)+1, "")</f>
        <v/>
      </c>
    </row>
    <row r="345" spans="1:9" x14ac:dyDescent="0.2">
      <c r="A345" t="s">
        <v>1441</v>
      </c>
      <c r="B345" t="str">
        <f>PPR!A279</f>
        <v>Conducción Fluidos</v>
      </c>
      <c r="C345" t="str">
        <f>PPR!B279</f>
        <v>PP-R</v>
      </c>
      <c r="D345">
        <f>PPR!F279</f>
        <v>33072</v>
      </c>
      <c r="E345" t="str">
        <f>PPR!G279</f>
        <v>PPR LLAVE PASO PLASTICA VAST PLAST 20 N</v>
      </c>
      <c r="F345">
        <f>PPR!H279</f>
        <v>10</v>
      </c>
      <c r="G345" t="str">
        <f>PPR!I279</f>
        <v>Bolsa</v>
      </c>
      <c r="H345">
        <f>IFERROR(IF(PPR!J279="",0,PPR!J279),0)</f>
        <v>0</v>
      </c>
      <c r="I345" s="58" t="str">
        <f>IF(H345&gt;0, MAX(I$1:I344)+1, "")</f>
        <v/>
      </c>
    </row>
    <row r="346" spans="1:9" x14ac:dyDescent="0.2">
      <c r="A346" t="s">
        <v>1441</v>
      </c>
      <c r="B346" t="str">
        <f>PPR!A280</f>
        <v>Conducción Fluidos</v>
      </c>
      <c r="C346" t="str">
        <f>PPR!B280</f>
        <v>PP-R</v>
      </c>
      <c r="D346">
        <f>PPR!F280</f>
        <v>33073</v>
      </c>
      <c r="E346" t="str">
        <f>PPR!G280</f>
        <v>PPR LLAVE PASO PLASTICA VAST PLAST 25 N</v>
      </c>
      <c r="F346">
        <f>PPR!H280</f>
        <v>10</v>
      </c>
      <c r="G346" t="str">
        <f>PPR!I280</f>
        <v>Bolsa</v>
      </c>
      <c r="H346">
        <f>IFERROR(IF(PPR!J280="",0,PPR!J280),0)</f>
        <v>0</v>
      </c>
      <c r="I346" s="58" t="str">
        <f>IF(H346&gt;0, MAX(I$1:I345)+1, "")</f>
        <v/>
      </c>
    </row>
    <row r="347" spans="1:9" x14ac:dyDescent="0.2">
      <c r="A347" t="s">
        <v>1441</v>
      </c>
      <c r="B347" t="str">
        <f>PPR!A281</f>
        <v>Conducción Fluidos</v>
      </c>
      <c r="C347" t="str">
        <f>PPR!B281</f>
        <v>PP-R</v>
      </c>
      <c r="D347">
        <f>PPR!F281</f>
        <v>33074</v>
      </c>
      <c r="E347" t="str">
        <f>PPR!G281</f>
        <v>PPR LLAVE PASO PLASTICA VAST PLAST 32 N</v>
      </c>
      <c r="F347">
        <f>PPR!H281</f>
        <v>10</v>
      </c>
      <c r="G347" t="str">
        <f>PPR!I281</f>
        <v>Bolsa</v>
      </c>
      <c r="H347">
        <f>IFERROR(IF(PPR!J281="",0,PPR!J281),0)</f>
        <v>0</v>
      </c>
      <c r="I347" s="58" t="str">
        <f>IF(H347&gt;0, MAX(I$1:I346)+1, "")</f>
        <v/>
      </c>
    </row>
    <row r="348" spans="1:9" x14ac:dyDescent="0.2">
      <c r="A348" t="s">
        <v>1441</v>
      </c>
      <c r="B348" t="str">
        <f>PPR!A282</f>
        <v>Conducción Fluidos</v>
      </c>
      <c r="C348" t="str">
        <f>PPR!B282</f>
        <v>PP-R</v>
      </c>
      <c r="D348">
        <f>PPR!F282</f>
        <v>333101</v>
      </c>
      <c r="E348" t="str">
        <f>PPR!G282</f>
        <v>PPR LL/V LLAVE BOLA PLAST 20 I</v>
      </c>
      <c r="F348">
        <f>PPR!H282</f>
        <v>10</v>
      </c>
      <c r="G348" t="str">
        <f>PPR!I282</f>
        <v>Bolsa</v>
      </c>
      <c r="H348">
        <f>IFERROR(IF(PPR!J282="",0,PPR!J282),0)</f>
        <v>0</v>
      </c>
      <c r="I348" s="58" t="str">
        <f>IF(H348&gt;0, MAX(I$1:I347)+1, "")</f>
        <v/>
      </c>
    </row>
    <row r="349" spans="1:9" x14ac:dyDescent="0.2">
      <c r="A349" t="s">
        <v>1441</v>
      </c>
      <c r="B349" t="str">
        <f>PPR!A283</f>
        <v>Conducción Fluidos</v>
      </c>
      <c r="C349" t="str">
        <f>PPR!B283</f>
        <v>PP-R</v>
      </c>
      <c r="D349">
        <f>PPR!F283</f>
        <v>333102</v>
      </c>
      <c r="E349" t="str">
        <f>PPR!G283</f>
        <v>PPR LL/V LLAVE BOLA PLAST 25 I</v>
      </c>
      <c r="F349">
        <f>PPR!H283</f>
        <v>10</v>
      </c>
      <c r="G349" t="str">
        <f>PPR!I283</f>
        <v>Bolsa</v>
      </c>
      <c r="H349">
        <f>IFERROR(IF(PPR!J283="",0,PPR!J283),0)</f>
        <v>0</v>
      </c>
      <c r="I349" s="58" t="str">
        <f>IF(H349&gt;0, MAX(I$1:I348)+1, "")</f>
        <v/>
      </c>
    </row>
    <row r="350" spans="1:9" x14ac:dyDescent="0.2">
      <c r="A350" t="s">
        <v>1441</v>
      </c>
      <c r="B350" t="str">
        <f>PPR!A284</f>
        <v>Conducción Fluidos</v>
      </c>
      <c r="C350" t="str">
        <f>PPR!B284</f>
        <v>PP-R</v>
      </c>
      <c r="D350">
        <f>PPR!F284</f>
        <v>333103</v>
      </c>
      <c r="E350" t="str">
        <f>PPR!G284</f>
        <v>PPR LL/V LLAVE BOLA PLAST 32 I</v>
      </c>
      <c r="F350">
        <f>PPR!H284</f>
        <v>10</v>
      </c>
      <c r="G350" t="str">
        <f>PPR!I284</f>
        <v>Bolsa</v>
      </c>
      <c r="H350">
        <f>IFERROR(IF(PPR!J284="",0,PPR!J284),0)</f>
        <v>0</v>
      </c>
      <c r="I350" s="58" t="str">
        <f>IF(H350&gt;0, MAX(I$1:I349)+1, "")</f>
        <v/>
      </c>
    </row>
    <row r="351" spans="1:9" x14ac:dyDescent="0.2">
      <c r="A351" t="s">
        <v>1441</v>
      </c>
      <c r="B351" t="str">
        <f>PPR!A285</f>
        <v>Conducción Fluidos</v>
      </c>
      <c r="C351" t="str">
        <f>PPR!B285</f>
        <v>PP-R</v>
      </c>
      <c r="D351">
        <f>PPR!F285</f>
        <v>335101</v>
      </c>
      <c r="E351" t="str">
        <f>PPR!G285</f>
        <v>PPR LL/V VÁLVULA BOLA C. METALICO FUS 20</v>
      </c>
      <c r="F351">
        <f>PPR!H285</f>
        <v>10</v>
      </c>
      <c r="G351" t="str">
        <f>PPR!I285</f>
        <v>Bolsa</v>
      </c>
      <c r="H351">
        <f>IFERROR(IF(PPR!J285="",0,PPR!J285),0)</f>
        <v>0</v>
      </c>
      <c r="I351" s="58" t="str">
        <f>IF(H351&gt;0, MAX(I$1:I350)+1, "")</f>
        <v/>
      </c>
    </row>
    <row r="352" spans="1:9" x14ac:dyDescent="0.2">
      <c r="A352" t="s">
        <v>1441</v>
      </c>
      <c r="B352" t="str">
        <f>PPR!A286</f>
        <v>Conducción Fluidos</v>
      </c>
      <c r="C352" t="str">
        <f>PPR!B286</f>
        <v>PP-R</v>
      </c>
      <c r="D352">
        <f>PPR!F286</f>
        <v>335102</v>
      </c>
      <c r="E352" t="str">
        <f>PPR!G286</f>
        <v>PPR LL/V VÁLVULA BOLA C. METALICO FUS 25</v>
      </c>
      <c r="F352">
        <f>PPR!H286</f>
        <v>8</v>
      </c>
      <c r="G352" t="str">
        <f>PPR!I286</f>
        <v>Bolsa</v>
      </c>
      <c r="H352">
        <f>IFERROR(IF(PPR!J286="",0,PPR!J286),0)</f>
        <v>0</v>
      </c>
      <c r="I352" s="58" t="str">
        <f>IF(H352&gt;0, MAX(I$1:I351)+1, "")</f>
        <v/>
      </c>
    </row>
    <row r="353" spans="1:9" x14ac:dyDescent="0.2">
      <c r="A353" t="s">
        <v>1441</v>
      </c>
      <c r="B353" t="str">
        <f>PPR!A287</f>
        <v>Conducción Fluidos</v>
      </c>
      <c r="C353" t="str">
        <f>PPR!B287</f>
        <v>PP-R</v>
      </c>
      <c r="D353">
        <f>PPR!F287</f>
        <v>335103</v>
      </c>
      <c r="E353" t="str">
        <f>PPR!G287</f>
        <v>PPR LL/V VÁLVULA BOLA C. METALICO FUS 32</v>
      </c>
      <c r="F353">
        <f>PPR!H287</f>
        <v>8</v>
      </c>
      <c r="G353" t="str">
        <f>PPR!I287</f>
        <v>Bolsa</v>
      </c>
      <c r="H353">
        <f>IFERROR(IF(PPR!J287="",0,PPR!J287),0)</f>
        <v>0</v>
      </c>
      <c r="I353" s="58" t="str">
        <f>IF(H353&gt;0, MAX(I$1:I352)+1, "")</f>
        <v/>
      </c>
    </row>
    <row r="354" spans="1:9" x14ac:dyDescent="0.2">
      <c r="A354" t="s">
        <v>1441</v>
      </c>
      <c r="B354" t="str">
        <f>PPR!A288</f>
        <v>Conducción Fluidos</v>
      </c>
      <c r="C354" t="str">
        <f>PPR!B288</f>
        <v>PP-R</v>
      </c>
      <c r="D354">
        <f>PPR!F288</f>
        <v>335104</v>
      </c>
      <c r="E354" t="str">
        <f>PPR!G288</f>
        <v>PPR LL/V VÁLVULA BOLA C. METALICO FUS 40</v>
      </c>
      <c r="F354">
        <f>PPR!H288</f>
        <v>8</v>
      </c>
      <c r="G354" t="str">
        <f>PPR!I288</f>
        <v>Bolsa</v>
      </c>
      <c r="H354">
        <f>IFERROR(IF(PPR!J288="",0,PPR!J288),0)</f>
        <v>0</v>
      </c>
      <c r="I354" s="58" t="str">
        <f>IF(H354&gt;0, MAX(I$1:I353)+1, "")</f>
        <v/>
      </c>
    </row>
    <row r="355" spans="1:9" x14ac:dyDescent="0.2">
      <c r="A355" t="s">
        <v>1441</v>
      </c>
      <c r="B355" t="str">
        <f>PPR!A289</f>
        <v>Conducción Fluidos</v>
      </c>
      <c r="C355" t="str">
        <f>PPR!B289</f>
        <v>PP-R</v>
      </c>
      <c r="D355">
        <f>PPR!F289</f>
        <v>335105</v>
      </c>
      <c r="E355" t="str">
        <f>PPR!G289</f>
        <v>PPR LL/V VÁLVULA BOLA C. METALICO FUS 50</v>
      </c>
      <c r="F355">
        <f>PPR!H289</f>
        <v>2</v>
      </c>
      <c r="G355" t="str">
        <f>PPR!I289</f>
        <v>Bolsa</v>
      </c>
      <c r="H355">
        <f>IFERROR(IF(PPR!J289="",0,PPR!J289),0)</f>
        <v>0</v>
      </c>
      <c r="I355" s="58" t="str">
        <f>IF(H355&gt;0, MAX(I$1:I354)+1, "")</f>
        <v/>
      </c>
    </row>
    <row r="356" spans="1:9" x14ac:dyDescent="0.2">
      <c r="A356" t="s">
        <v>1441</v>
      </c>
      <c r="B356" t="str">
        <f>PPR!A290</f>
        <v>Conducción Fluidos</v>
      </c>
      <c r="C356" t="str">
        <f>PPR!B290</f>
        <v>PP-R</v>
      </c>
      <c r="D356">
        <f>PPR!F290</f>
        <v>335106</v>
      </c>
      <c r="E356" t="str">
        <f>PPR!G290</f>
        <v>PPR LL/V VÁLVULA BOLA C. METALICO FUS 63</v>
      </c>
      <c r="F356">
        <f>PPR!H290</f>
        <v>1</v>
      </c>
      <c r="G356" t="str">
        <f>PPR!I290</f>
        <v>Unitario</v>
      </c>
      <c r="H356">
        <f>IFERROR(IF(PPR!J290="",0,PPR!J290),0)</f>
        <v>0</v>
      </c>
      <c r="I356" s="58" t="str">
        <f>IF(H356&gt;0, MAX(I$1:I355)+1, "")</f>
        <v/>
      </c>
    </row>
    <row r="357" spans="1:9" x14ac:dyDescent="0.2">
      <c r="A357" t="s">
        <v>1441</v>
      </c>
      <c r="B357" t="str">
        <f>PPR!A291</f>
        <v>Conducción Fluidos</v>
      </c>
      <c r="C357" t="str">
        <f>PPR!B291</f>
        <v>PP-R</v>
      </c>
      <c r="D357">
        <f>PPR!F291</f>
        <v>34101</v>
      </c>
      <c r="E357" t="str">
        <f>PPR!G291</f>
        <v>PPR LLAVE PASO MEZC CROM. DOBL 20 N</v>
      </c>
      <c r="F357">
        <f>PPR!H291</f>
        <v>5</v>
      </c>
      <c r="G357" t="str">
        <f>PPR!I291</f>
        <v>Bolsa</v>
      </c>
      <c r="H357">
        <f>IFERROR(IF(PPR!J291="",0,PPR!J291),0)</f>
        <v>0</v>
      </c>
      <c r="I357" s="58" t="str">
        <f>IF(H357&gt;0, MAX(I$1:I356)+1, "")</f>
        <v/>
      </c>
    </row>
    <row r="358" spans="1:9" x14ac:dyDescent="0.2">
      <c r="A358" t="s">
        <v>1441</v>
      </c>
      <c r="B358" t="str">
        <f>PPR!A292</f>
        <v>Conducción Fluidos</v>
      </c>
      <c r="C358" t="str">
        <f>PPR!B292</f>
        <v>PP-R</v>
      </c>
      <c r="D358">
        <f>PPR!F292</f>
        <v>34201</v>
      </c>
      <c r="E358" t="str">
        <f>PPR!G292</f>
        <v>PPR LLAVE PASO MEZC MET. DOBL 20 N</v>
      </c>
      <c r="F358">
        <f>PPR!H292</f>
        <v>5</v>
      </c>
      <c r="G358" t="str">
        <f>PPR!I292</f>
        <v>Bolsa</v>
      </c>
      <c r="H358">
        <f>IFERROR(IF(PPR!J292="",0,PPR!J292),0)</f>
        <v>0</v>
      </c>
      <c r="I358" s="58" t="str">
        <f>IF(H358&gt;0, MAX(I$1:I357)+1, "")</f>
        <v/>
      </c>
    </row>
    <row r="359" spans="1:9" x14ac:dyDescent="0.2">
      <c r="A359" t="s">
        <v>1441</v>
      </c>
      <c r="B359" t="str">
        <f>PPR!A293</f>
        <v>Conducción Fluidos</v>
      </c>
      <c r="C359" t="str">
        <f>PPR!B293</f>
        <v>PP-R</v>
      </c>
      <c r="D359">
        <f>PPR!F293</f>
        <v>34102</v>
      </c>
      <c r="E359" t="str">
        <f>PPR!G293</f>
        <v>PPR LLAVE PASO MEZC OCTOGONAL DOB 20 N</v>
      </c>
      <c r="F359">
        <f>PPR!H293</f>
        <v>5</v>
      </c>
      <c r="G359" t="str">
        <f>PPR!I293</f>
        <v>Bolsa</v>
      </c>
      <c r="H359">
        <f>IFERROR(IF(PPR!J293="",0,PPR!J293),0)</f>
        <v>0</v>
      </c>
      <c r="I359" s="58" t="str">
        <f>IF(H359&gt;0, MAX(I$1:I358)+1, "")</f>
        <v/>
      </c>
    </row>
    <row r="360" spans="1:9" x14ac:dyDescent="0.2">
      <c r="A360" t="s">
        <v>1441</v>
      </c>
      <c r="B360" t="str">
        <f>PPR!A294</f>
        <v>Conducción Fluidos</v>
      </c>
      <c r="C360" t="str">
        <f>PPR!B294</f>
        <v>PP-R</v>
      </c>
      <c r="D360">
        <f>PPR!F294</f>
        <v>34202</v>
      </c>
      <c r="E360" t="str">
        <f>PPR!G294</f>
        <v>PPR LLAVE PASO MEZC PLASTICA DOB 20 N</v>
      </c>
      <c r="F360">
        <f>PPR!H294</f>
        <v>5</v>
      </c>
      <c r="G360" t="str">
        <f>PPR!I294</f>
        <v>Bolsa</v>
      </c>
      <c r="H360">
        <f>IFERROR(IF(PPR!J294="",0,PPR!J294),0)</f>
        <v>0</v>
      </c>
      <c r="I360" s="58" t="str">
        <f>IF(H360&gt;0, MAX(I$1:I359)+1, "")</f>
        <v/>
      </c>
    </row>
    <row r="361" spans="1:9" x14ac:dyDescent="0.2">
      <c r="A361" t="s">
        <v>1441</v>
      </c>
      <c r="B361" t="str">
        <f>PPR!A295</f>
        <v>Conducción Fluidos</v>
      </c>
      <c r="C361" t="str">
        <f>PPR!B295</f>
        <v>PP-R</v>
      </c>
      <c r="D361">
        <f>PPR!F295</f>
        <v>334801</v>
      </c>
      <c r="E361" t="str">
        <f>PPR!G295</f>
        <v>PPR HERR TIJERAS 16 A 40 I</v>
      </c>
      <c r="F361">
        <f>PPR!H295</f>
        <v>10</v>
      </c>
      <c r="G361" t="str">
        <f>PPR!I295</f>
        <v>Unitario</v>
      </c>
      <c r="H361">
        <f>IFERROR(IF(PPR!J295="",0,PPR!J295),0)</f>
        <v>0</v>
      </c>
      <c r="I361" s="58" t="str">
        <f>IF(H361&gt;0, MAX(I$1:I360)+1, "")</f>
        <v/>
      </c>
    </row>
    <row r="362" spans="1:9" x14ac:dyDescent="0.2">
      <c r="A362" t="s">
        <v>1441</v>
      </c>
      <c r="B362" t="str">
        <f>PPR!A296</f>
        <v>Conducción Fluidos</v>
      </c>
      <c r="C362" t="str">
        <f>PPR!B296</f>
        <v>PP-R</v>
      </c>
      <c r="D362">
        <f>PPR!F296</f>
        <v>334802</v>
      </c>
      <c r="E362" t="str">
        <f>PPR!G296</f>
        <v>PPR HERR TIJERAS 16 A 63 I</v>
      </c>
      <c r="F362">
        <f>PPR!H296</f>
        <v>5</v>
      </c>
      <c r="G362" t="str">
        <f>PPR!I296</f>
        <v>Unitario</v>
      </c>
      <c r="H362">
        <f>IFERROR(IF(PPR!J296="",0,PPR!J296),0)</f>
        <v>0</v>
      </c>
      <c r="I362" s="58" t="str">
        <f>IF(H362&gt;0, MAX(I$1:I361)+1, "")</f>
        <v/>
      </c>
    </row>
    <row r="363" spans="1:9" x14ac:dyDescent="0.2">
      <c r="A363" t="s">
        <v>1441</v>
      </c>
      <c r="B363" t="str">
        <f>PPR!A297</f>
        <v>Conducción Fluidos</v>
      </c>
      <c r="C363" t="str">
        <f>PPR!B297</f>
        <v>PP-R</v>
      </c>
      <c r="D363">
        <f>PPR!F297</f>
        <v>34701</v>
      </c>
      <c r="E363" t="str">
        <f>PPR!G297</f>
        <v>PPR HERR MAQUINA FUSION 16 A 63 N</v>
      </c>
      <c r="F363">
        <f>PPR!H297</f>
        <v>1</v>
      </c>
      <c r="G363" t="str">
        <f>PPR!I297</f>
        <v>Unitario</v>
      </c>
      <c r="H363">
        <f>IFERROR(IF(PPR!J297="",0,PPR!J297),0)</f>
        <v>0</v>
      </c>
      <c r="I363" s="58" t="str">
        <f>IF(H363&gt;0, MAX(I$1:I362)+1, "")</f>
        <v/>
      </c>
    </row>
    <row r="364" spans="1:9" x14ac:dyDescent="0.2">
      <c r="A364" t="s">
        <v>1441</v>
      </c>
      <c r="B364" t="str">
        <f>PPR!A298</f>
        <v>Conducción Fluidos</v>
      </c>
      <c r="C364" t="str">
        <f>PPR!B298</f>
        <v>PP-R</v>
      </c>
      <c r="D364">
        <f>PPR!F298</f>
        <v>333612</v>
      </c>
      <c r="E364" t="str">
        <f>PPR!G298</f>
        <v>PPR HERR DADOS 20 FUSION I</v>
      </c>
      <c r="F364">
        <f>PPR!H298</f>
        <v>10</v>
      </c>
      <c r="G364" t="str">
        <f>PPR!I298</f>
        <v>Caja</v>
      </c>
      <c r="H364">
        <f>IFERROR(IF(PPR!J298="",0,PPR!J298),0)</f>
        <v>0</v>
      </c>
      <c r="I364" s="58" t="str">
        <f>IF(H364&gt;0, MAX(I$1:I363)+1, "")</f>
        <v/>
      </c>
    </row>
    <row r="365" spans="1:9" x14ac:dyDescent="0.2">
      <c r="A365" t="s">
        <v>1441</v>
      </c>
      <c r="B365" t="str">
        <f>PPR!A299</f>
        <v>Conducción Fluidos</v>
      </c>
      <c r="C365" t="str">
        <f>PPR!B299</f>
        <v>PP-R</v>
      </c>
      <c r="D365">
        <f>PPR!F299</f>
        <v>333613</v>
      </c>
      <c r="E365" t="str">
        <f>PPR!G299</f>
        <v>PPR HERR DADOS 25 FUSION I</v>
      </c>
      <c r="F365">
        <f>PPR!H299</f>
        <v>10</v>
      </c>
      <c r="G365" t="str">
        <f>PPR!I299</f>
        <v>Caja</v>
      </c>
      <c r="H365">
        <f>IFERROR(IF(PPR!J299="",0,PPR!J299),0)</f>
        <v>0</v>
      </c>
      <c r="I365" s="58" t="str">
        <f>IF(H365&gt;0, MAX(I$1:I364)+1, "")</f>
        <v/>
      </c>
    </row>
    <row r="366" spans="1:9" x14ac:dyDescent="0.2">
      <c r="A366" t="s">
        <v>1441</v>
      </c>
      <c r="B366" t="str">
        <f>PPR!A300</f>
        <v>Conducción Fluidos</v>
      </c>
      <c r="C366" t="str">
        <f>PPR!B300</f>
        <v>PP-R</v>
      </c>
      <c r="D366">
        <f>PPR!F300</f>
        <v>333614</v>
      </c>
      <c r="E366" t="str">
        <f>PPR!G300</f>
        <v>PPR HERR DADOS 32 FUSION I</v>
      </c>
      <c r="F366">
        <f>PPR!H300</f>
        <v>10</v>
      </c>
      <c r="G366" t="str">
        <f>PPR!I300</f>
        <v>Caja</v>
      </c>
      <c r="H366">
        <f>IFERROR(IF(PPR!J300="",0,PPR!J300),0)</f>
        <v>0</v>
      </c>
      <c r="I366" s="58" t="str">
        <f>IF(H366&gt;0, MAX(I$1:I365)+1, "")</f>
        <v/>
      </c>
    </row>
    <row r="367" spans="1:9" x14ac:dyDescent="0.2">
      <c r="A367" t="s">
        <v>1441</v>
      </c>
      <c r="B367" t="str">
        <f>PPR!A301</f>
        <v>Conducción Fluidos</v>
      </c>
      <c r="C367" t="str">
        <f>PPR!B301</f>
        <v>PP-R</v>
      </c>
      <c r="D367">
        <f>PPR!F301</f>
        <v>333615</v>
      </c>
      <c r="E367" t="str">
        <f>PPR!G301</f>
        <v>PPR HERR DADOS 40 FUSION I</v>
      </c>
      <c r="F367">
        <f>PPR!H301</f>
        <v>10</v>
      </c>
      <c r="G367" t="str">
        <f>PPR!I301</f>
        <v>Caja</v>
      </c>
      <c r="H367">
        <f>IFERROR(IF(PPR!J301="",0,PPR!J301),0)</f>
        <v>0</v>
      </c>
      <c r="I367" s="58" t="str">
        <f>IF(H367&gt;0, MAX(I$1:I366)+1, "")</f>
        <v/>
      </c>
    </row>
    <row r="368" spans="1:9" x14ac:dyDescent="0.2">
      <c r="A368" t="s">
        <v>1441</v>
      </c>
      <c r="B368" t="str">
        <f>PPR!A302</f>
        <v>Conducción Fluidos</v>
      </c>
      <c r="C368" t="str">
        <f>PPR!B302</f>
        <v>PP-R</v>
      </c>
      <c r="D368">
        <f>PPR!F302</f>
        <v>333616</v>
      </c>
      <c r="E368" t="str">
        <f>PPR!G302</f>
        <v>PPR HERR DADOS 50 FUSION I</v>
      </c>
      <c r="F368">
        <f>PPR!H302</f>
        <v>10</v>
      </c>
      <c r="G368" t="str">
        <f>PPR!I302</f>
        <v>Caja</v>
      </c>
      <c r="H368">
        <f>IFERROR(IF(PPR!J302="",0,PPR!J302),0)</f>
        <v>0</v>
      </c>
      <c r="I368" s="58" t="str">
        <f>IF(H368&gt;0, MAX(I$1:I367)+1, "")</f>
        <v/>
      </c>
    </row>
    <row r="369" spans="1:9" x14ac:dyDescent="0.2">
      <c r="A369" t="s">
        <v>1441</v>
      </c>
      <c r="B369" t="str">
        <f>PPR!A303</f>
        <v>Conducción Fluidos</v>
      </c>
      <c r="C369" t="str">
        <f>PPR!B303</f>
        <v>PP-R</v>
      </c>
      <c r="D369">
        <f>PPR!F303</f>
        <v>333617</v>
      </c>
      <c r="E369" t="str">
        <f>PPR!G303</f>
        <v>PPR HERR DADOS 63 FUSION I</v>
      </c>
      <c r="F369">
        <f>PPR!H303</f>
        <v>1</v>
      </c>
      <c r="G369" t="str">
        <f>PPR!I303</f>
        <v>Caja</v>
      </c>
      <c r="H369">
        <f>IFERROR(IF(PPR!J303="",0,PPR!J303),0)</f>
        <v>0</v>
      </c>
      <c r="I369" s="58" t="str">
        <f>IF(H369&gt;0, MAX(I$1:I368)+1, "")</f>
        <v/>
      </c>
    </row>
    <row r="370" spans="1:9" x14ac:dyDescent="0.2">
      <c r="A370" t="s">
        <v>1441</v>
      </c>
      <c r="B370" t="str">
        <f>PPR!A304</f>
        <v>Conducción Fluidos</v>
      </c>
      <c r="C370" t="str">
        <f>PPR!B304</f>
        <v>PP-R</v>
      </c>
      <c r="D370">
        <f>PPR!F304</f>
        <v>333618</v>
      </c>
      <c r="E370" t="str">
        <f>PPR!G304</f>
        <v>PPR HERR DADOS 75 FUSION I</v>
      </c>
      <c r="F370">
        <f>PPR!H304</f>
        <v>1</v>
      </c>
      <c r="G370" t="str">
        <f>PPR!I304</f>
        <v>Caja</v>
      </c>
      <c r="H370">
        <f>IFERROR(IF(PPR!J304="",0,PPR!J304),0)</f>
        <v>0</v>
      </c>
      <c r="I370" s="58" t="str">
        <f>IF(H370&gt;0, MAX(I$1:I369)+1, "")</f>
        <v/>
      </c>
    </row>
    <row r="371" spans="1:9" x14ac:dyDescent="0.2">
      <c r="A371" t="s">
        <v>1441</v>
      </c>
      <c r="B371" t="str">
        <f>PPR!A305</f>
        <v>Conducción Fluidos</v>
      </c>
      <c r="C371" t="str">
        <f>PPR!B305</f>
        <v>PP-R</v>
      </c>
      <c r="D371">
        <f>PPR!F305</f>
        <v>333619</v>
      </c>
      <c r="E371" t="str">
        <f>PPR!G305</f>
        <v>PPR HERR DADOS 90 FUSION I</v>
      </c>
      <c r="F371">
        <f>PPR!H305</f>
        <v>1</v>
      </c>
      <c r="G371" t="str">
        <f>PPR!I305</f>
        <v>Caja</v>
      </c>
      <c r="H371">
        <f>IFERROR(IF(PPR!J305="",0,PPR!J305),0)</f>
        <v>0</v>
      </c>
      <c r="I371" s="58" t="str">
        <f>IF(H371&gt;0, MAX(I$1:I370)+1, "")</f>
        <v/>
      </c>
    </row>
    <row r="372" spans="1:9" x14ac:dyDescent="0.2">
      <c r="A372" t="s">
        <v>1441</v>
      </c>
      <c r="B372" t="str">
        <f>PPR!A306</f>
        <v>Conducción Fluidos</v>
      </c>
      <c r="C372" t="str">
        <f>PPR!B306</f>
        <v>PP-R</v>
      </c>
      <c r="D372">
        <f>PPR!F306</f>
        <v>333620</v>
      </c>
      <c r="E372" t="str">
        <f>PPR!G306</f>
        <v>PPR HERR DADOS 110 FUSION I</v>
      </c>
      <c r="F372">
        <f>PPR!H306</f>
        <v>1</v>
      </c>
      <c r="G372" t="str">
        <f>PPR!I306</f>
        <v>Caja</v>
      </c>
      <c r="H372">
        <f>IFERROR(IF(PPR!J306="",0,PPR!J306),0)</f>
        <v>0</v>
      </c>
      <c r="I372" s="58" t="str">
        <f>IF(H372&gt;0, MAX(I$1:I371)+1, "")</f>
        <v/>
      </c>
    </row>
    <row r="373" spans="1:9" x14ac:dyDescent="0.2">
      <c r="A373" t="s">
        <v>1442</v>
      </c>
      <c r="B373" t="str">
        <f>'Adhes. Lubric Teflón'!A3</f>
        <v>Conducción Fluidos</v>
      </c>
      <c r="C373" t="str">
        <f>'Adhes. Lubric Teflón'!B3</f>
        <v>ADH. LUB. PVC Y TEFLÓN</v>
      </c>
      <c r="D373">
        <f>'Adhes. Lubric Teflón'!F3</f>
        <v>345001</v>
      </c>
      <c r="E373" t="str">
        <f>'Adhes. Lubric Teflón'!G3</f>
        <v>ADHESIVO PVC TRANSP POMO 20CC S.H</v>
      </c>
      <c r="F373">
        <f>'Adhes. Lubric Teflón'!H3</f>
        <v>30</v>
      </c>
      <c r="G373" t="str">
        <f>'Adhes. Lubric Teflón'!I3</f>
        <v>Caja</v>
      </c>
      <c r="H373">
        <f>IFERROR(IF('Adhes. Lubric Teflón'!J3="",0,'Adhes. Lubric Teflón'!J3),0)</f>
        <v>0</v>
      </c>
      <c r="I373" s="58" t="str">
        <f>IF(H373&gt;0, MAX(I$1:I372)+1, "")</f>
        <v/>
      </c>
    </row>
    <row r="374" spans="1:9" x14ac:dyDescent="0.2">
      <c r="A374" t="s">
        <v>1442</v>
      </c>
      <c r="B374" t="str">
        <f>'Adhes. Lubric Teflón'!A4</f>
        <v>Conducción Fluidos</v>
      </c>
      <c r="C374" t="str">
        <f>'Adhes. Lubric Teflón'!B4</f>
        <v>ADH. LUB. PVC Y TEFLÓN</v>
      </c>
      <c r="D374">
        <f>'Adhes. Lubric Teflón'!F4</f>
        <v>345002</v>
      </c>
      <c r="E374" t="str">
        <f>'Adhes. Lubric Teflón'!G4</f>
        <v>ADHESIVO PVC TRANSP POMO 60CC S.H.</v>
      </c>
      <c r="F374">
        <f>'Adhes. Lubric Teflón'!H4</f>
        <v>30</v>
      </c>
      <c r="G374" t="str">
        <f>'Adhes. Lubric Teflón'!I4</f>
        <v>Caja</v>
      </c>
      <c r="H374">
        <f>IFERROR(IF('Adhes. Lubric Teflón'!J4="",0,'Adhes. Lubric Teflón'!J4),0)</f>
        <v>0</v>
      </c>
      <c r="I374" s="58" t="str">
        <f>IF(H374&gt;0, MAX(I$1:I373)+1, "")</f>
        <v/>
      </c>
    </row>
    <row r="375" spans="1:9" x14ac:dyDescent="0.2">
      <c r="A375" t="s">
        <v>1442</v>
      </c>
      <c r="B375" t="str">
        <f>'Adhes. Lubric Teflón'!A5</f>
        <v>Conducción Fluidos</v>
      </c>
      <c r="C375" t="str">
        <f>'Adhes. Lubric Teflón'!B5</f>
        <v>ADH. LUB. PVC Y TEFLÓN</v>
      </c>
      <c r="D375">
        <f>'Adhes. Lubric Teflón'!F5</f>
        <v>345003</v>
      </c>
      <c r="E375" t="str">
        <f>'Adhes. Lubric Teflón'!G5</f>
        <v>ADHESIVO PVC TRANSP LATA 118ML S.H.</v>
      </c>
      <c r="F375">
        <f>'Adhes. Lubric Teflón'!H5</f>
        <v>24</v>
      </c>
      <c r="G375" t="str">
        <f>'Adhes. Lubric Teflón'!I5</f>
        <v>Caja</v>
      </c>
      <c r="H375">
        <f>IFERROR(IF('Adhes. Lubric Teflón'!J5="",0,'Adhes. Lubric Teflón'!J5),0)</f>
        <v>0</v>
      </c>
      <c r="I375" s="58" t="str">
        <f>IF(H375&gt;0, MAX(I$1:I374)+1, "")</f>
        <v/>
      </c>
    </row>
    <row r="376" spans="1:9" x14ac:dyDescent="0.2">
      <c r="A376" t="s">
        <v>1442</v>
      </c>
      <c r="B376" t="str">
        <f>'Adhes. Lubric Teflón'!A6</f>
        <v>Conducción Fluidos</v>
      </c>
      <c r="C376" t="str">
        <f>'Adhes. Lubric Teflón'!B6</f>
        <v>ADH. LUB. PVC Y TEFLÓN</v>
      </c>
      <c r="D376">
        <f>'Adhes. Lubric Teflón'!F6</f>
        <v>345004</v>
      </c>
      <c r="E376" t="str">
        <f>'Adhes. Lubric Teflón'!G6</f>
        <v>ADHESIVO PVC TRANSP LATA 237ML S.H.</v>
      </c>
      <c r="F376">
        <f>'Adhes. Lubric Teflón'!H6</f>
        <v>12</v>
      </c>
      <c r="G376" t="str">
        <f>'Adhes. Lubric Teflón'!I6</f>
        <v>Caja</v>
      </c>
      <c r="H376">
        <f>IFERROR(IF('Adhes. Lubric Teflón'!J6="",0,'Adhes. Lubric Teflón'!J6),0)</f>
        <v>0</v>
      </c>
      <c r="I376" s="58" t="str">
        <f>IF(H376&gt;0, MAX(I$1:I375)+1, "")</f>
        <v/>
      </c>
    </row>
    <row r="377" spans="1:9" x14ac:dyDescent="0.2">
      <c r="A377" t="s">
        <v>1442</v>
      </c>
      <c r="B377" t="str">
        <f>'Adhes. Lubric Teflón'!A7</f>
        <v>Conducción Fluidos</v>
      </c>
      <c r="C377" t="str">
        <f>'Adhes. Lubric Teflón'!B7</f>
        <v>ADH. LUB. PVC Y TEFLÓN</v>
      </c>
      <c r="D377">
        <f>'Adhes. Lubric Teflón'!F7</f>
        <v>345005</v>
      </c>
      <c r="E377" t="str">
        <f>'Adhes. Lubric Teflón'!G7</f>
        <v>ADHESIVO PVC HUMED LATA 118ML S.H.</v>
      </c>
      <c r="F377">
        <f>'Adhes. Lubric Teflón'!H7</f>
        <v>24</v>
      </c>
      <c r="G377" t="str">
        <f>'Adhes. Lubric Teflón'!I7</f>
        <v>Caja</v>
      </c>
      <c r="H377">
        <f>IFERROR(IF('Adhes. Lubric Teflón'!J7="",0,'Adhes. Lubric Teflón'!J7),0)</f>
        <v>0</v>
      </c>
      <c r="I377" s="58" t="str">
        <f>IF(H377&gt;0, MAX(I$1:I376)+1, "")</f>
        <v/>
      </c>
    </row>
    <row r="378" spans="1:9" x14ac:dyDescent="0.2">
      <c r="A378" t="s">
        <v>1442</v>
      </c>
      <c r="B378" t="str">
        <f>'Adhes. Lubric Teflón'!A8</f>
        <v>Conducción Fluidos</v>
      </c>
      <c r="C378" t="str">
        <f>'Adhes. Lubric Teflón'!B8</f>
        <v>ADH. LUB. PVC Y TEFLÓN</v>
      </c>
      <c r="D378">
        <f>'Adhes. Lubric Teflón'!F8</f>
        <v>345006</v>
      </c>
      <c r="E378" t="str">
        <f>'Adhes. Lubric Teflón'!G8</f>
        <v>ADHESIVO PVC HUMED LATA 237ML S.H.</v>
      </c>
      <c r="F378">
        <f>'Adhes. Lubric Teflón'!H8</f>
        <v>12</v>
      </c>
      <c r="G378" t="str">
        <f>'Adhes. Lubric Teflón'!I8</f>
        <v>Caja</v>
      </c>
      <c r="H378">
        <f>IFERROR(IF('Adhes. Lubric Teflón'!J8="",0,'Adhes. Lubric Teflón'!J8),0)</f>
        <v>0</v>
      </c>
      <c r="I378" s="58" t="str">
        <f>IF(H378&gt;0, MAX(I$1:I377)+1, "")</f>
        <v/>
      </c>
    </row>
    <row r="379" spans="1:9" x14ac:dyDescent="0.2">
      <c r="A379" t="s">
        <v>1442</v>
      </c>
      <c r="B379" t="str">
        <f>'Adhes. Lubric Teflón'!A9</f>
        <v>Conducción Fluidos</v>
      </c>
      <c r="C379" t="str">
        <f>'Adhes. Lubric Teflón'!B9</f>
        <v>ADH. LUB. PVC Y TEFLÓN</v>
      </c>
      <c r="D379">
        <f>'Adhes. Lubric Teflón'!F9</f>
        <v>45038</v>
      </c>
      <c r="E379" t="str">
        <f>'Adhes. Lubric Teflón'!G9</f>
        <v>LUBRICANTE PVC 1/2 LT</v>
      </c>
      <c r="F379">
        <f>'Adhes. Lubric Teflón'!H9</f>
        <v>1</v>
      </c>
      <c r="G379" t="str">
        <f>'Adhes. Lubric Teflón'!I9</f>
        <v>Unitario</v>
      </c>
      <c r="H379">
        <f>IFERROR(IF('Adhes. Lubric Teflón'!J9="",0,'Adhes. Lubric Teflón'!J9),0)</f>
        <v>0</v>
      </c>
      <c r="I379" s="58" t="str">
        <f>IF(H379&gt;0, MAX(I$1:I378)+1, "")</f>
        <v/>
      </c>
    </row>
    <row r="380" spans="1:9" x14ac:dyDescent="0.2">
      <c r="A380" t="s">
        <v>1442</v>
      </c>
      <c r="B380" t="str">
        <f>'Adhes. Lubric Teflón'!A10</f>
        <v>Conducción Fluidos</v>
      </c>
      <c r="C380" t="str">
        <f>'Adhes. Lubric Teflón'!B10</f>
        <v>ADH. LUB. PVC Y TEFLÓN</v>
      </c>
      <c r="D380">
        <f>'Adhes. Lubric Teflón'!F10</f>
        <v>44405</v>
      </c>
      <c r="E380" t="str">
        <f>'Adhes. Lubric Teflón'!G10</f>
        <v>COMP TEFLÓN DOMESTICO 1/2'</v>
      </c>
      <c r="F380">
        <f>'Adhes. Lubric Teflón'!H10</f>
        <v>250</v>
      </c>
      <c r="G380" t="str">
        <f>'Adhes. Lubric Teflón'!I10</f>
        <v>Caja</v>
      </c>
      <c r="H380">
        <f>IFERROR(IF('Adhes. Lubric Teflón'!J10="",0,'Adhes. Lubric Teflón'!J10),0)</f>
        <v>0</v>
      </c>
      <c r="I380" s="58" t="str">
        <f>IF(H380&gt;0, MAX(I$1:I379)+1, "")</f>
        <v/>
      </c>
    </row>
    <row r="381" spans="1:9" x14ac:dyDescent="0.2">
      <c r="A381" t="s">
        <v>1442</v>
      </c>
      <c r="B381" t="str">
        <f>'Adhes. Lubric Teflón'!A11</f>
        <v>Conducción Fluidos</v>
      </c>
      <c r="C381" t="str">
        <f>'Adhes. Lubric Teflón'!B11</f>
        <v>ADH. LUB. PVC Y TEFLÓN</v>
      </c>
      <c r="D381">
        <f>'Adhes. Lubric Teflón'!F11</f>
        <v>44406</v>
      </c>
      <c r="E381" t="str">
        <f>'Adhes. Lubric Teflón'!G11</f>
        <v>COMP TEFLÓN DOMESTICO 3/4'</v>
      </c>
      <c r="F381">
        <f>'Adhes. Lubric Teflón'!H11</f>
        <v>250</v>
      </c>
      <c r="G381" t="str">
        <f>'Adhes. Lubric Teflón'!I11</f>
        <v>Caja</v>
      </c>
      <c r="H381">
        <f>IFERROR(IF('Adhes. Lubric Teflón'!J11="",0,'Adhes. Lubric Teflón'!J11),0)</f>
        <v>0</v>
      </c>
      <c r="I381" s="58" t="str">
        <f>IF(H381&gt;0, MAX(I$1:I380)+1, "")</f>
        <v/>
      </c>
    </row>
    <row r="382" spans="1:9" x14ac:dyDescent="0.2">
      <c r="A382" t="s">
        <v>1443</v>
      </c>
      <c r="B382" t="str">
        <f>'PVC Sanit Gris'!A3</f>
        <v>Conducción Fluidos</v>
      </c>
      <c r="C382" t="str">
        <f>'PVC Sanit Gris'!B3</f>
        <v>PVC SANITARIO GRIS</v>
      </c>
      <c r="D382" t="str">
        <f>'PVC Sanit Gris'!F3</f>
        <v>13005NN</v>
      </c>
      <c r="E382" t="str">
        <f>'PVC Sanit Gris'!G3</f>
        <v>PVC SAN GRIS TUBO N.NORMA 6M 40 N</v>
      </c>
      <c r="F382">
        <f>'PVC Sanit Gris'!H3</f>
        <v>1</v>
      </c>
      <c r="G382" t="str">
        <f>'PVC Sanit Gris'!I3</f>
        <v>Unitario</v>
      </c>
      <c r="H382">
        <f>IFERROR(IF('PVC Sanit Gris'!J3="",0,'PVC Sanit Gris'!J3),0)</f>
        <v>0</v>
      </c>
      <c r="I382" s="58" t="str">
        <f>IF(H382&gt;0, MAX(I$1:I381)+1, "")</f>
        <v/>
      </c>
    </row>
    <row r="383" spans="1:9" x14ac:dyDescent="0.2">
      <c r="A383" t="s">
        <v>1443</v>
      </c>
      <c r="B383" t="str">
        <f>'PVC Sanit Gris'!A4</f>
        <v>Conducción Fluidos</v>
      </c>
      <c r="C383" t="str">
        <f>'PVC Sanit Gris'!B4</f>
        <v>PVC SANITARIO GRIS</v>
      </c>
      <c r="D383" t="str">
        <f>'PVC Sanit Gris'!F4</f>
        <v>13006NN</v>
      </c>
      <c r="E383" t="str">
        <f>'PVC Sanit Gris'!G4</f>
        <v>PVC SAN GRIS TUBO N.NORMA 6M 50 N</v>
      </c>
      <c r="F383">
        <f>'PVC Sanit Gris'!H4</f>
        <v>1</v>
      </c>
      <c r="G383" t="str">
        <f>'PVC Sanit Gris'!I4</f>
        <v>Unitario</v>
      </c>
      <c r="H383">
        <f>IFERROR(IF('PVC Sanit Gris'!J4="",0,'PVC Sanit Gris'!J4),0)</f>
        <v>0</v>
      </c>
      <c r="I383" s="58" t="str">
        <f>IF(H383&gt;0, MAX(I$1:I382)+1, "")</f>
        <v/>
      </c>
    </row>
    <row r="384" spans="1:9" x14ac:dyDescent="0.2">
      <c r="A384" t="s">
        <v>1443</v>
      </c>
      <c r="B384" t="str">
        <f>'PVC Sanit Gris'!A5</f>
        <v>Conducción Fluidos</v>
      </c>
      <c r="C384" t="str">
        <f>'PVC Sanit Gris'!B5</f>
        <v>PVC SANITARIO GRIS</v>
      </c>
      <c r="D384" t="str">
        <f>'PVC Sanit Gris'!F5</f>
        <v>13008NN</v>
      </c>
      <c r="E384" t="str">
        <f>'PVC Sanit Gris'!G5</f>
        <v>PVC SAN GRIS TUBO N.NORMA 6M 75 N</v>
      </c>
      <c r="F384">
        <f>'PVC Sanit Gris'!H5</f>
        <v>1</v>
      </c>
      <c r="G384" t="str">
        <f>'PVC Sanit Gris'!I5</f>
        <v>Unitario</v>
      </c>
      <c r="H384">
        <f>IFERROR(IF('PVC Sanit Gris'!J5="",0,'PVC Sanit Gris'!J5),0)</f>
        <v>0</v>
      </c>
      <c r="I384" s="58" t="str">
        <f>IF(H384&gt;0, MAX(I$1:I383)+1, "")</f>
        <v/>
      </c>
    </row>
    <row r="385" spans="1:9" x14ac:dyDescent="0.2">
      <c r="A385" t="s">
        <v>1443</v>
      </c>
      <c r="B385" t="str">
        <f>'PVC Sanit Gris'!A6</f>
        <v>Conducción Fluidos</v>
      </c>
      <c r="C385" t="str">
        <f>'PVC Sanit Gris'!B6</f>
        <v>PVC SANITARIO GRIS</v>
      </c>
      <c r="D385" t="str">
        <f>'PVC Sanit Gris'!F6</f>
        <v>13010NN</v>
      </c>
      <c r="E385" t="str">
        <f>'PVC Sanit Gris'!G6</f>
        <v>PVC SAN GRIS TUBO N.NORMA 6M 110 N</v>
      </c>
      <c r="F385">
        <f>'PVC Sanit Gris'!H6</f>
        <v>1</v>
      </c>
      <c r="G385" t="str">
        <f>'PVC Sanit Gris'!I6</f>
        <v>Unitario</v>
      </c>
      <c r="H385">
        <f>IFERROR(IF('PVC Sanit Gris'!J6="",0,'PVC Sanit Gris'!J6),0)</f>
        <v>0</v>
      </c>
      <c r="I385" s="58" t="str">
        <f>IF(H385&gt;0, MAX(I$1:I384)+1, "")</f>
        <v/>
      </c>
    </row>
    <row r="386" spans="1:9" x14ac:dyDescent="0.2">
      <c r="A386" t="s">
        <v>1443</v>
      </c>
      <c r="B386" t="str">
        <f>'PVC Sanit Gris'!A7</f>
        <v>Conducción Fluidos</v>
      </c>
      <c r="C386" t="str">
        <f>'PVC Sanit Gris'!B7</f>
        <v>PVC SANITARIO GRIS</v>
      </c>
      <c r="D386" t="str">
        <f>'PVC Sanit Gris'!F7</f>
        <v>13105NN</v>
      </c>
      <c r="E386" t="str">
        <f>'PVC Sanit Gris'!G7</f>
        <v>PVC SAN GRIS TUBO N.NORMA 3M 40 N</v>
      </c>
      <c r="F386">
        <f>'PVC Sanit Gris'!H7</f>
        <v>1</v>
      </c>
      <c r="G386" t="str">
        <f>'PVC Sanit Gris'!I7</f>
        <v>Unitario</v>
      </c>
      <c r="H386">
        <f>IFERROR(IF('PVC Sanit Gris'!J7="",0,'PVC Sanit Gris'!J7),0)</f>
        <v>0</v>
      </c>
      <c r="I386" s="58" t="str">
        <f>IF(H386&gt;0, MAX(I$1:I385)+1, "")</f>
        <v/>
      </c>
    </row>
    <row r="387" spans="1:9" x14ac:dyDescent="0.2">
      <c r="A387" t="s">
        <v>1443</v>
      </c>
      <c r="B387" t="str">
        <f>'PVC Sanit Gris'!A8</f>
        <v>Conducción Fluidos</v>
      </c>
      <c r="C387" t="str">
        <f>'PVC Sanit Gris'!B8</f>
        <v>PVC SANITARIO GRIS</v>
      </c>
      <c r="D387" t="str">
        <f>'PVC Sanit Gris'!F8</f>
        <v>13106NN</v>
      </c>
      <c r="E387" t="str">
        <f>'PVC Sanit Gris'!G8</f>
        <v>PVC SAN GRIS TUBO N.NORMA 3M 50 N</v>
      </c>
      <c r="F387">
        <f>'PVC Sanit Gris'!H8</f>
        <v>1</v>
      </c>
      <c r="G387" t="str">
        <f>'PVC Sanit Gris'!I8</f>
        <v>Unitario</v>
      </c>
      <c r="H387">
        <f>IFERROR(IF('PVC Sanit Gris'!J8="",0,'PVC Sanit Gris'!J8),0)</f>
        <v>0</v>
      </c>
      <c r="I387" s="58" t="str">
        <f>IF(H387&gt;0, MAX(I$1:I386)+1, "")</f>
        <v/>
      </c>
    </row>
    <row r="388" spans="1:9" x14ac:dyDescent="0.2">
      <c r="A388" t="s">
        <v>1443</v>
      </c>
      <c r="B388" t="str">
        <f>'PVC Sanit Gris'!A9</f>
        <v>Conducción Fluidos</v>
      </c>
      <c r="C388" t="str">
        <f>'PVC Sanit Gris'!B9</f>
        <v>PVC SANITARIO GRIS</v>
      </c>
      <c r="D388" t="str">
        <f>'PVC Sanit Gris'!F9</f>
        <v>13108NN</v>
      </c>
      <c r="E388" t="str">
        <f>'PVC Sanit Gris'!G9</f>
        <v>PVC SAN GRIS TUBO N.NORMA 3M 75 N</v>
      </c>
      <c r="F388">
        <f>'PVC Sanit Gris'!H9</f>
        <v>1</v>
      </c>
      <c r="G388" t="str">
        <f>'PVC Sanit Gris'!I9</f>
        <v>Unitario</v>
      </c>
      <c r="H388">
        <f>IFERROR(IF('PVC Sanit Gris'!J9="",0,'PVC Sanit Gris'!J9),0)</f>
        <v>0</v>
      </c>
      <c r="I388" s="58" t="str">
        <f>IF(H388&gt;0, MAX(I$1:I387)+1, "")</f>
        <v/>
      </c>
    </row>
    <row r="389" spans="1:9" x14ac:dyDescent="0.2">
      <c r="A389" t="s">
        <v>1443</v>
      </c>
      <c r="B389" t="str">
        <f>'PVC Sanit Gris'!A10</f>
        <v>Conducción Fluidos</v>
      </c>
      <c r="C389" t="str">
        <f>'PVC Sanit Gris'!B10</f>
        <v>PVC SANITARIO GRIS</v>
      </c>
      <c r="D389" t="str">
        <f>'PVC Sanit Gris'!F10</f>
        <v>13110NN</v>
      </c>
      <c r="E389" t="str">
        <f>'PVC Sanit Gris'!G10</f>
        <v>PVC SAN GRIS TUBO N.NORMA 3M 110 N</v>
      </c>
      <c r="F389">
        <f>'PVC Sanit Gris'!H10</f>
        <v>1</v>
      </c>
      <c r="G389" t="str">
        <f>'PVC Sanit Gris'!I10</f>
        <v>Unitario</v>
      </c>
      <c r="H389">
        <f>IFERROR(IF('PVC Sanit Gris'!J10="",0,'PVC Sanit Gris'!J10),0)</f>
        <v>0</v>
      </c>
      <c r="I389" s="58" t="str">
        <f>IF(H389&gt;0, MAX(I$1:I388)+1, "")</f>
        <v/>
      </c>
    </row>
    <row r="390" spans="1:9" x14ac:dyDescent="0.2">
      <c r="A390" t="s">
        <v>1443</v>
      </c>
      <c r="B390" t="str">
        <f>'PVC Sanit Gris'!A11</f>
        <v>Conducción Fluidos</v>
      </c>
      <c r="C390" t="str">
        <f>'PVC Sanit Gris'!B11</f>
        <v>PVC SANITARIO GRIS</v>
      </c>
      <c r="D390" t="str">
        <f>'PVC Sanit Gris'!F11</f>
        <v>13205NN</v>
      </c>
      <c r="E390" t="str">
        <f>'PVC Sanit Gris'!G11</f>
        <v>PVC SAN GRIS TUBO N.NORMA 1M 40 N</v>
      </c>
      <c r="F390">
        <f>'PVC Sanit Gris'!H11</f>
        <v>10</v>
      </c>
      <c r="G390" t="str">
        <f>'PVC Sanit Gris'!I11</f>
        <v>Unitario</v>
      </c>
      <c r="H390">
        <f>IFERROR(IF('PVC Sanit Gris'!J11="",0,'PVC Sanit Gris'!J11),0)</f>
        <v>0</v>
      </c>
      <c r="I390" s="58" t="str">
        <f>IF(H390&gt;0, MAX(I$1:I389)+1, "")</f>
        <v/>
      </c>
    </row>
    <row r="391" spans="1:9" x14ac:dyDescent="0.2">
      <c r="A391" t="s">
        <v>1443</v>
      </c>
      <c r="B391" t="str">
        <f>'PVC Sanit Gris'!A12</f>
        <v>Conducción Fluidos</v>
      </c>
      <c r="C391" t="str">
        <f>'PVC Sanit Gris'!B12</f>
        <v>PVC SANITARIO GRIS</v>
      </c>
      <c r="D391" t="str">
        <f>'PVC Sanit Gris'!F12</f>
        <v>13206NN</v>
      </c>
      <c r="E391" t="str">
        <f>'PVC Sanit Gris'!G12</f>
        <v>PVC SAN GRIS TUBO N.NORMA 1M 50 N</v>
      </c>
      <c r="F391">
        <f>'PVC Sanit Gris'!H12</f>
        <v>10</v>
      </c>
      <c r="G391" t="str">
        <f>'PVC Sanit Gris'!I12</f>
        <v>Unitario</v>
      </c>
      <c r="H391">
        <f>IFERROR(IF('PVC Sanit Gris'!J12="",0,'PVC Sanit Gris'!J12),0)</f>
        <v>0</v>
      </c>
      <c r="I391" s="58" t="str">
        <f>IF(H391&gt;0, MAX(I$1:I390)+1, "")</f>
        <v/>
      </c>
    </row>
    <row r="392" spans="1:9" x14ac:dyDescent="0.2">
      <c r="A392" t="s">
        <v>1443</v>
      </c>
      <c r="B392" t="str">
        <f>'PVC Sanit Gris'!A13</f>
        <v>Conducción Fluidos</v>
      </c>
      <c r="C392" t="str">
        <f>'PVC Sanit Gris'!B13</f>
        <v>PVC SANITARIO GRIS</v>
      </c>
      <c r="D392" t="str">
        <f>'PVC Sanit Gris'!F13</f>
        <v>13208NN</v>
      </c>
      <c r="E392" t="str">
        <f>'PVC Sanit Gris'!G13</f>
        <v>PVC SAN GRIS TUBO N.NORMA 1M 75 N</v>
      </c>
      <c r="F392">
        <f>'PVC Sanit Gris'!H13</f>
        <v>10</v>
      </c>
      <c r="G392" t="str">
        <f>'PVC Sanit Gris'!I13</f>
        <v>Unitario</v>
      </c>
      <c r="H392">
        <f>IFERROR(IF('PVC Sanit Gris'!J13="",0,'PVC Sanit Gris'!J13),0)</f>
        <v>0</v>
      </c>
      <c r="I392" s="58" t="str">
        <f>IF(H392&gt;0, MAX(I$1:I391)+1, "")</f>
        <v/>
      </c>
    </row>
    <row r="393" spans="1:9" x14ac:dyDescent="0.2">
      <c r="A393" t="s">
        <v>1443</v>
      </c>
      <c r="B393" t="str">
        <f>'PVC Sanit Gris'!A14</f>
        <v>Conducción Fluidos</v>
      </c>
      <c r="C393" t="str">
        <f>'PVC Sanit Gris'!B14</f>
        <v>PVC SANITARIO GRIS</v>
      </c>
      <c r="D393" t="str">
        <f>'PVC Sanit Gris'!F14</f>
        <v>13210NN</v>
      </c>
      <c r="E393" t="str">
        <f>'PVC Sanit Gris'!G14</f>
        <v>PVC SAN GRIS TUBO N.NORMA 1M 110 N</v>
      </c>
      <c r="F393">
        <f>'PVC Sanit Gris'!H14</f>
        <v>5</v>
      </c>
      <c r="G393" t="str">
        <f>'PVC Sanit Gris'!I14</f>
        <v>Unitario</v>
      </c>
      <c r="H393">
        <f>IFERROR(IF('PVC Sanit Gris'!J14="",0,'PVC Sanit Gris'!J14),0)</f>
        <v>0</v>
      </c>
      <c r="I393" s="58" t="str">
        <f>IF(H393&gt;0, MAX(I$1:I392)+1, "")</f>
        <v/>
      </c>
    </row>
    <row r="394" spans="1:9" x14ac:dyDescent="0.2">
      <c r="A394" t="s">
        <v>1443</v>
      </c>
      <c r="B394" t="str">
        <f>'PVC Sanit Gris'!A15</f>
        <v>Conducción Fluidos</v>
      </c>
      <c r="C394" t="str">
        <f>'PVC Sanit Gris'!B15</f>
        <v>PVC SANITARIO GRIS</v>
      </c>
      <c r="D394">
        <f>'PVC Sanit Gris'!F15</f>
        <v>341205</v>
      </c>
      <c r="E394" t="str">
        <f>'PVC Sanit Gris'!G15</f>
        <v>PVC SAN GRIS FT CODO 45° 40 I</v>
      </c>
      <c r="F394">
        <f>'PVC Sanit Gris'!H15</f>
        <v>48</v>
      </c>
      <c r="G394" t="str">
        <f>'PVC Sanit Gris'!I15</f>
        <v>Caja</v>
      </c>
      <c r="H394">
        <f>IFERROR(IF('PVC Sanit Gris'!J15="",0,'PVC Sanit Gris'!J15),0)</f>
        <v>0</v>
      </c>
      <c r="I394" s="58" t="str">
        <f>IF(H394&gt;0, MAX(I$1:I393)+1, "")</f>
        <v/>
      </c>
    </row>
    <row r="395" spans="1:9" x14ac:dyDescent="0.2">
      <c r="A395" t="s">
        <v>1443</v>
      </c>
      <c r="B395" t="str">
        <f>'PVC Sanit Gris'!A16</f>
        <v>Conducción Fluidos</v>
      </c>
      <c r="C395" t="str">
        <f>'PVC Sanit Gris'!B16</f>
        <v>PVC SANITARIO GRIS</v>
      </c>
      <c r="D395">
        <f>'PVC Sanit Gris'!F16</f>
        <v>341206</v>
      </c>
      <c r="E395" t="str">
        <f>'PVC Sanit Gris'!G16</f>
        <v>PVC SAN GRIS FT CODO 45° 50 I</v>
      </c>
      <c r="F395">
        <f>'PVC Sanit Gris'!H16</f>
        <v>36</v>
      </c>
      <c r="G395" t="str">
        <f>'PVC Sanit Gris'!I16</f>
        <v>Caja</v>
      </c>
      <c r="H395">
        <f>IFERROR(IF('PVC Sanit Gris'!J16="",0,'PVC Sanit Gris'!J16),0)</f>
        <v>0</v>
      </c>
      <c r="I395" s="58" t="str">
        <f>IF(H395&gt;0, MAX(I$1:I394)+1, "")</f>
        <v/>
      </c>
    </row>
    <row r="396" spans="1:9" x14ac:dyDescent="0.2">
      <c r="A396" t="s">
        <v>1443</v>
      </c>
      <c r="B396" t="str">
        <f>'PVC Sanit Gris'!A17</f>
        <v>Conducción Fluidos</v>
      </c>
      <c r="C396" t="str">
        <f>'PVC Sanit Gris'!B17</f>
        <v>PVC SANITARIO GRIS</v>
      </c>
      <c r="D396">
        <f>'PVC Sanit Gris'!F17</f>
        <v>341208</v>
      </c>
      <c r="E396" t="str">
        <f>'PVC Sanit Gris'!G17</f>
        <v>PVC SAN GRIS FT CODO 45° 75 I</v>
      </c>
      <c r="F396">
        <f>'PVC Sanit Gris'!H17</f>
        <v>18</v>
      </c>
      <c r="G396" t="str">
        <f>'PVC Sanit Gris'!I17</f>
        <v>Caja</v>
      </c>
      <c r="H396">
        <f>IFERROR(IF('PVC Sanit Gris'!J17="",0,'PVC Sanit Gris'!J17),0)</f>
        <v>0</v>
      </c>
      <c r="I396" s="58" t="str">
        <f>IF(H396&gt;0, MAX(I$1:I395)+1, "")</f>
        <v/>
      </c>
    </row>
    <row r="397" spans="1:9" x14ac:dyDescent="0.2">
      <c r="A397" t="s">
        <v>1443</v>
      </c>
      <c r="B397" t="str">
        <f>'PVC Sanit Gris'!A18</f>
        <v>Conducción Fluidos</v>
      </c>
      <c r="C397" t="str">
        <f>'PVC Sanit Gris'!B18</f>
        <v>PVC SANITARIO GRIS</v>
      </c>
      <c r="D397">
        <f>'PVC Sanit Gris'!F18</f>
        <v>341210</v>
      </c>
      <c r="E397" t="str">
        <f>'PVC Sanit Gris'!G18</f>
        <v>PVC SAN GRIS FT CODO 45° 110 I</v>
      </c>
      <c r="F397">
        <f>'PVC Sanit Gris'!H18</f>
        <v>10</v>
      </c>
      <c r="G397" t="str">
        <f>'PVC Sanit Gris'!I18</f>
        <v>Caja</v>
      </c>
      <c r="H397">
        <f>IFERROR(IF('PVC Sanit Gris'!J18="",0,'PVC Sanit Gris'!J18),0)</f>
        <v>0</v>
      </c>
      <c r="I397" s="58" t="str">
        <f>IF(H397&gt;0, MAX(I$1:I396)+1, "")</f>
        <v/>
      </c>
    </row>
    <row r="398" spans="1:9" x14ac:dyDescent="0.2">
      <c r="A398" t="s">
        <v>1443</v>
      </c>
      <c r="B398" t="str">
        <f>'PVC Sanit Gris'!A19</f>
        <v>Conducción Fluidos</v>
      </c>
      <c r="C398" t="str">
        <f>'PVC Sanit Gris'!B19</f>
        <v>PVC SANITARIO GRIS</v>
      </c>
      <c r="D398">
        <f>'PVC Sanit Gris'!F19</f>
        <v>341105</v>
      </c>
      <c r="E398" t="str">
        <f>'PVC Sanit Gris'!G19</f>
        <v>PVC SAN GRIS FT CODO 87,5° 40 I</v>
      </c>
      <c r="F398">
        <f>'PVC Sanit Gris'!H19</f>
        <v>36</v>
      </c>
      <c r="G398" t="str">
        <f>'PVC Sanit Gris'!I19</f>
        <v>Caja</v>
      </c>
      <c r="H398">
        <f>IFERROR(IF('PVC Sanit Gris'!J19="",0,'PVC Sanit Gris'!J19),0)</f>
        <v>0</v>
      </c>
      <c r="I398" s="58" t="str">
        <f>IF(H398&gt;0, MAX(I$1:I397)+1, "")</f>
        <v/>
      </c>
    </row>
    <row r="399" spans="1:9" x14ac:dyDescent="0.2">
      <c r="A399" t="s">
        <v>1443</v>
      </c>
      <c r="B399" t="str">
        <f>'PVC Sanit Gris'!A20</f>
        <v>Conducción Fluidos</v>
      </c>
      <c r="C399" t="str">
        <f>'PVC Sanit Gris'!B20</f>
        <v>PVC SANITARIO GRIS</v>
      </c>
      <c r="D399">
        <f>'PVC Sanit Gris'!F20</f>
        <v>341106</v>
      </c>
      <c r="E399" t="str">
        <f>'PVC Sanit Gris'!G20</f>
        <v>PVC SAN GRIS FT CODO 87,5° 50 I</v>
      </c>
      <c r="F399">
        <f>'PVC Sanit Gris'!H20</f>
        <v>30</v>
      </c>
      <c r="G399" t="str">
        <f>'PVC Sanit Gris'!I20</f>
        <v>Caja</v>
      </c>
      <c r="H399">
        <f>IFERROR(IF('PVC Sanit Gris'!J20="",0,'PVC Sanit Gris'!J20),0)</f>
        <v>0</v>
      </c>
      <c r="I399" s="58" t="str">
        <f>IF(H399&gt;0, MAX(I$1:I398)+1, "")</f>
        <v/>
      </c>
    </row>
    <row r="400" spans="1:9" x14ac:dyDescent="0.2">
      <c r="A400" t="s">
        <v>1443</v>
      </c>
      <c r="B400" t="str">
        <f>'PVC Sanit Gris'!A21</f>
        <v>Conducción Fluidos</v>
      </c>
      <c r="C400" t="str">
        <f>'PVC Sanit Gris'!B21</f>
        <v>PVC SANITARIO GRIS</v>
      </c>
      <c r="D400">
        <f>'PVC Sanit Gris'!F21</f>
        <v>341108</v>
      </c>
      <c r="E400" t="str">
        <f>'PVC Sanit Gris'!G21</f>
        <v>PVC SAN GRIS FT CODO 87,5° 75 I</v>
      </c>
      <c r="F400">
        <f>'PVC Sanit Gris'!H21</f>
        <v>30</v>
      </c>
      <c r="G400" t="str">
        <f>'PVC Sanit Gris'!I21</f>
        <v>Caja</v>
      </c>
      <c r="H400">
        <f>IFERROR(IF('PVC Sanit Gris'!J21="",0,'PVC Sanit Gris'!J21),0)</f>
        <v>0</v>
      </c>
      <c r="I400" s="58" t="str">
        <f>IF(H400&gt;0, MAX(I$1:I399)+1, "")</f>
        <v/>
      </c>
    </row>
    <row r="401" spans="1:9" x14ac:dyDescent="0.2">
      <c r="A401" t="s">
        <v>1443</v>
      </c>
      <c r="B401" t="str">
        <f>'PVC Sanit Gris'!A22</f>
        <v>Conducción Fluidos</v>
      </c>
      <c r="C401" t="str">
        <f>'PVC Sanit Gris'!B22</f>
        <v>PVC SANITARIO GRIS</v>
      </c>
      <c r="D401">
        <f>'PVC Sanit Gris'!F22</f>
        <v>341110</v>
      </c>
      <c r="E401" t="str">
        <f>'PVC Sanit Gris'!G22</f>
        <v>PVC SAN GRIS FT CODO 87,5° 110 I</v>
      </c>
      <c r="F401">
        <f>'PVC Sanit Gris'!H22</f>
        <v>12</v>
      </c>
      <c r="G401" t="str">
        <f>'PVC Sanit Gris'!I22</f>
        <v>Caja</v>
      </c>
      <c r="H401">
        <f>IFERROR(IF('PVC Sanit Gris'!J22="",0,'PVC Sanit Gris'!J22),0)</f>
        <v>0</v>
      </c>
      <c r="I401" s="58" t="str">
        <f>IF(H401&gt;0, MAX(I$1:I400)+1, "")</f>
        <v/>
      </c>
    </row>
    <row r="402" spans="1:9" x14ac:dyDescent="0.2">
      <c r="A402" t="s">
        <v>1443</v>
      </c>
      <c r="B402" t="str">
        <f>'PVC Sanit Gris'!A23</f>
        <v>Conducción Fluidos</v>
      </c>
      <c r="C402" t="str">
        <f>'PVC Sanit Gris'!B23</f>
        <v>PVC SANITARIO GRIS</v>
      </c>
      <c r="D402">
        <f>'PVC Sanit Gris'!F23</f>
        <v>341405</v>
      </c>
      <c r="E402" t="str">
        <f>'PVC Sanit Gris'!G23</f>
        <v>PVC SAN GRIS FT COPLA 40 I</v>
      </c>
      <c r="F402">
        <f>'PVC Sanit Gris'!H23</f>
        <v>30</v>
      </c>
      <c r="G402" t="str">
        <f>'PVC Sanit Gris'!I23</f>
        <v>Caja</v>
      </c>
      <c r="H402">
        <f>IFERROR(IF('PVC Sanit Gris'!J23="",0,'PVC Sanit Gris'!J23),0)</f>
        <v>0</v>
      </c>
      <c r="I402" s="58" t="str">
        <f>IF(H402&gt;0, MAX(I$1:I401)+1, "")</f>
        <v/>
      </c>
    </row>
    <row r="403" spans="1:9" x14ac:dyDescent="0.2">
      <c r="A403" t="s">
        <v>1443</v>
      </c>
      <c r="B403" t="str">
        <f>'PVC Sanit Gris'!A24</f>
        <v>Conducción Fluidos</v>
      </c>
      <c r="C403" t="str">
        <f>'PVC Sanit Gris'!B24</f>
        <v>PVC SANITARIO GRIS</v>
      </c>
      <c r="D403">
        <f>'PVC Sanit Gris'!F24</f>
        <v>341406</v>
      </c>
      <c r="E403" t="str">
        <f>'PVC Sanit Gris'!G24</f>
        <v>PVC SAN GRIS FT COPLA 50 I</v>
      </c>
      <c r="F403">
        <f>'PVC Sanit Gris'!H24</f>
        <v>24</v>
      </c>
      <c r="G403" t="str">
        <f>'PVC Sanit Gris'!I24</f>
        <v>Caja</v>
      </c>
      <c r="H403">
        <f>IFERROR(IF('PVC Sanit Gris'!J24="",0,'PVC Sanit Gris'!J24),0)</f>
        <v>0</v>
      </c>
      <c r="I403" s="58" t="str">
        <f>IF(H403&gt;0, MAX(I$1:I402)+1, "")</f>
        <v/>
      </c>
    </row>
    <row r="404" spans="1:9" x14ac:dyDescent="0.2">
      <c r="A404" t="s">
        <v>1443</v>
      </c>
      <c r="B404" t="str">
        <f>'PVC Sanit Gris'!A25</f>
        <v>Conducción Fluidos</v>
      </c>
      <c r="C404" t="str">
        <f>'PVC Sanit Gris'!B25</f>
        <v>PVC SANITARIO GRIS</v>
      </c>
      <c r="D404">
        <f>'PVC Sanit Gris'!F25</f>
        <v>341408</v>
      </c>
      <c r="E404" t="str">
        <f>'PVC Sanit Gris'!G25</f>
        <v>PVC SAN GRIS FT COPLA 75 I</v>
      </c>
      <c r="F404">
        <f>'PVC Sanit Gris'!H25</f>
        <v>20</v>
      </c>
      <c r="G404" t="str">
        <f>'PVC Sanit Gris'!I25</f>
        <v>Caja</v>
      </c>
      <c r="H404">
        <f>IFERROR(IF('PVC Sanit Gris'!J25="",0,'PVC Sanit Gris'!J25),0)</f>
        <v>0</v>
      </c>
      <c r="I404" s="58" t="str">
        <f>IF(H404&gt;0, MAX(I$1:I403)+1, "")</f>
        <v/>
      </c>
    </row>
    <row r="405" spans="1:9" x14ac:dyDescent="0.2">
      <c r="A405" t="s">
        <v>1443</v>
      </c>
      <c r="B405" t="str">
        <f>'PVC Sanit Gris'!A26</f>
        <v>Conducción Fluidos</v>
      </c>
      <c r="C405" t="str">
        <f>'PVC Sanit Gris'!B26</f>
        <v>PVC SANITARIO GRIS</v>
      </c>
      <c r="D405">
        <f>'PVC Sanit Gris'!F26</f>
        <v>341410</v>
      </c>
      <c r="E405" t="str">
        <f>'PVC Sanit Gris'!G26</f>
        <v>PVC SAN GRIS FT COPLA 110 I</v>
      </c>
      <c r="F405">
        <f>'PVC Sanit Gris'!H26</f>
        <v>10</v>
      </c>
      <c r="G405" t="str">
        <f>'PVC Sanit Gris'!I26</f>
        <v>Caja</v>
      </c>
      <c r="H405">
        <f>IFERROR(IF('PVC Sanit Gris'!J26="",0,'PVC Sanit Gris'!J26),0)</f>
        <v>0</v>
      </c>
      <c r="I405" s="58" t="str">
        <f>IF(H405&gt;0, MAX(I$1:I404)+1, "")</f>
        <v/>
      </c>
    </row>
    <row r="406" spans="1:9" x14ac:dyDescent="0.2">
      <c r="A406" t="s">
        <v>1443</v>
      </c>
      <c r="B406" t="str">
        <f>'PVC Sanit Gris'!A27</f>
        <v>Conducción Fluidos</v>
      </c>
      <c r="C406" t="str">
        <f>'PVC Sanit Gris'!B27</f>
        <v>PVC SANITARIO GRIS</v>
      </c>
      <c r="D406">
        <f>'PVC Sanit Gris'!F27</f>
        <v>341005</v>
      </c>
      <c r="E406" t="str">
        <f>'PVC Sanit Gris'!G27</f>
        <v>PVC SAN GRIS FT COPLA RED 50 40  I</v>
      </c>
      <c r="F406">
        <f>'PVC Sanit Gris'!H27</f>
        <v>50</v>
      </c>
      <c r="G406" t="str">
        <f>'PVC Sanit Gris'!I27</f>
        <v>Caja</v>
      </c>
      <c r="H406">
        <f>IFERROR(IF('PVC Sanit Gris'!J27="",0,'PVC Sanit Gris'!J27),0)</f>
        <v>0</v>
      </c>
      <c r="I406" s="58" t="str">
        <f>IF(H406&gt;0, MAX(I$1:I405)+1, "")</f>
        <v/>
      </c>
    </row>
    <row r="407" spans="1:9" x14ac:dyDescent="0.2">
      <c r="A407" t="s">
        <v>1443</v>
      </c>
      <c r="B407" t="str">
        <f>'PVC Sanit Gris'!A28</f>
        <v>Conducción Fluidos</v>
      </c>
      <c r="C407" t="str">
        <f>'PVC Sanit Gris'!B28</f>
        <v>PVC SANITARIO GRIS</v>
      </c>
      <c r="D407">
        <f>'PVC Sanit Gris'!F28</f>
        <v>341006</v>
      </c>
      <c r="E407" t="str">
        <f>'PVC Sanit Gris'!G28</f>
        <v>PVC SAN GRIS FT COPLA RED 75 50  I</v>
      </c>
      <c r="F407">
        <f>'PVC Sanit Gris'!H28</f>
        <v>30</v>
      </c>
      <c r="G407" t="str">
        <f>'PVC Sanit Gris'!I28</f>
        <v>Caja</v>
      </c>
      <c r="H407">
        <f>IFERROR(IF('PVC Sanit Gris'!J28="",0,'PVC Sanit Gris'!J28),0)</f>
        <v>0</v>
      </c>
      <c r="I407" s="58" t="str">
        <f>IF(H407&gt;0, MAX(I$1:I406)+1, "")</f>
        <v/>
      </c>
    </row>
    <row r="408" spans="1:9" x14ac:dyDescent="0.2">
      <c r="A408" t="s">
        <v>1443</v>
      </c>
      <c r="B408" t="str">
        <f>'PVC Sanit Gris'!A29</f>
        <v>Conducción Fluidos</v>
      </c>
      <c r="C408" t="str">
        <f>'PVC Sanit Gris'!B29</f>
        <v>PVC SANITARIO GRIS</v>
      </c>
      <c r="D408">
        <f>'PVC Sanit Gris'!F29</f>
        <v>341008</v>
      </c>
      <c r="E408" t="str">
        <f>'PVC Sanit Gris'!G29</f>
        <v>PVC SAN GRIS FT COPLA RED 110 50  I</v>
      </c>
      <c r="F408">
        <f>'PVC Sanit Gris'!H29</f>
        <v>20</v>
      </c>
      <c r="G408" t="str">
        <f>'PVC Sanit Gris'!I29</f>
        <v>Caja</v>
      </c>
      <c r="H408">
        <f>IFERROR(IF('PVC Sanit Gris'!J29="",0,'PVC Sanit Gris'!J29),0)</f>
        <v>0</v>
      </c>
      <c r="I408" s="58" t="str">
        <f>IF(H408&gt;0, MAX(I$1:I407)+1, "")</f>
        <v/>
      </c>
    </row>
    <row r="409" spans="1:9" x14ac:dyDescent="0.2">
      <c r="A409" t="s">
        <v>1443</v>
      </c>
      <c r="B409" t="str">
        <f>'PVC Sanit Gris'!A30</f>
        <v>Conducción Fluidos</v>
      </c>
      <c r="C409" t="str">
        <f>'PVC Sanit Gris'!B30</f>
        <v>PVC SANITARIO GRIS</v>
      </c>
      <c r="D409">
        <f>'PVC Sanit Gris'!F30</f>
        <v>341010</v>
      </c>
      <c r="E409" t="str">
        <f>'PVC Sanit Gris'!G30</f>
        <v>PVC SAN GRIS FT COPLA RED 110 75  I</v>
      </c>
      <c r="F409">
        <f>'PVC Sanit Gris'!H30</f>
        <v>12</v>
      </c>
      <c r="G409" t="str">
        <f>'PVC Sanit Gris'!I30</f>
        <v>Caja</v>
      </c>
      <c r="H409">
        <f>IFERROR(IF('PVC Sanit Gris'!J30="",0,'PVC Sanit Gris'!J30),0)</f>
        <v>0</v>
      </c>
      <c r="I409" s="58" t="str">
        <f>IF(H409&gt;0, MAX(I$1:I408)+1, "")</f>
        <v/>
      </c>
    </row>
    <row r="410" spans="1:9" x14ac:dyDescent="0.2">
      <c r="A410" t="s">
        <v>1443</v>
      </c>
      <c r="B410" t="str">
        <f>'PVC Sanit Gris'!A31</f>
        <v>Conducción Fluidos</v>
      </c>
      <c r="C410" t="str">
        <f>'PVC Sanit Gris'!B31</f>
        <v>PVC SANITARIO GRIS</v>
      </c>
      <c r="D410">
        <f>'PVC Sanit Gris'!F31</f>
        <v>341505</v>
      </c>
      <c r="E410" t="str">
        <f>'PVC Sanit Gris'!G31</f>
        <v>PVC SAN GRIS FT TAPA 40 I</v>
      </c>
      <c r="F410">
        <f>'PVC Sanit Gris'!H31</f>
        <v>20</v>
      </c>
      <c r="G410" t="str">
        <f>'PVC Sanit Gris'!I31</f>
        <v>Caja</v>
      </c>
      <c r="H410">
        <f>IFERROR(IF('PVC Sanit Gris'!J31="",0,'PVC Sanit Gris'!J31),0)</f>
        <v>0</v>
      </c>
      <c r="I410" s="58" t="str">
        <f>IF(H410&gt;0, MAX(I$1:I409)+1, "")</f>
        <v/>
      </c>
    </row>
    <row r="411" spans="1:9" x14ac:dyDescent="0.2">
      <c r="A411" t="s">
        <v>1443</v>
      </c>
      <c r="B411" t="str">
        <f>'PVC Sanit Gris'!A32</f>
        <v>Conducción Fluidos</v>
      </c>
      <c r="C411" t="str">
        <f>'PVC Sanit Gris'!B32</f>
        <v>PVC SANITARIO GRIS</v>
      </c>
      <c r="D411">
        <f>'PVC Sanit Gris'!F32</f>
        <v>341506</v>
      </c>
      <c r="E411" t="str">
        <f>'PVC Sanit Gris'!G32</f>
        <v>PVC SAN GRIS FT TAPA 50 I</v>
      </c>
      <c r="F411">
        <f>'PVC Sanit Gris'!H32</f>
        <v>20</v>
      </c>
      <c r="G411" t="str">
        <f>'PVC Sanit Gris'!I32</f>
        <v>Caja</v>
      </c>
      <c r="H411">
        <f>IFERROR(IF('PVC Sanit Gris'!J32="",0,'PVC Sanit Gris'!J32),0)</f>
        <v>0</v>
      </c>
      <c r="I411" s="58" t="str">
        <f>IF(H411&gt;0, MAX(I$1:I410)+1, "")</f>
        <v/>
      </c>
    </row>
    <row r="412" spans="1:9" x14ac:dyDescent="0.2">
      <c r="A412" t="s">
        <v>1443</v>
      </c>
      <c r="B412" t="str">
        <f>'PVC Sanit Gris'!A33</f>
        <v>Conducción Fluidos</v>
      </c>
      <c r="C412" t="str">
        <f>'PVC Sanit Gris'!B33</f>
        <v>PVC SANITARIO GRIS</v>
      </c>
      <c r="D412">
        <f>'PVC Sanit Gris'!F33</f>
        <v>341508</v>
      </c>
      <c r="E412" t="str">
        <f>'PVC Sanit Gris'!G33</f>
        <v>PVC SAN GRIS FT TAPA 75 I</v>
      </c>
      <c r="F412">
        <f>'PVC Sanit Gris'!H33</f>
        <v>10</v>
      </c>
      <c r="G412" t="str">
        <f>'PVC Sanit Gris'!I33</f>
        <v>Caja</v>
      </c>
      <c r="H412">
        <f>IFERROR(IF('PVC Sanit Gris'!J33="",0,'PVC Sanit Gris'!J33),0)</f>
        <v>0</v>
      </c>
      <c r="I412" s="58" t="str">
        <f>IF(H412&gt;0, MAX(I$1:I411)+1, "")</f>
        <v/>
      </c>
    </row>
    <row r="413" spans="1:9" x14ac:dyDescent="0.2">
      <c r="A413" t="s">
        <v>1443</v>
      </c>
      <c r="B413" t="str">
        <f>'PVC Sanit Gris'!A34</f>
        <v>Conducción Fluidos</v>
      </c>
      <c r="C413" t="str">
        <f>'PVC Sanit Gris'!B34</f>
        <v>PVC SANITARIO GRIS</v>
      </c>
      <c r="D413">
        <f>'PVC Sanit Gris'!F34</f>
        <v>341510</v>
      </c>
      <c r="E413" t="str">
        <f>'PVC Sanit Gris'!G34</f>
        <v>PVC SAN GRIS FT TAPA 110 I</v>
      </c>
      <c r="F413">
        <f>'PVC Sanit Gris'!H34</f>
        <v>6</v>
      </c>
      <c r="G413" t="str">
        <f>'PVC Sanit Gris'!I34</f>
        <v>Caja</v>
      </c>
      <c r="H413">
        <f>IFERROR(IF('PVC Sanit Gris'!J34="",0,'PVC Sanit Gris'!J34),0)</f>
        <v>0</v>
      </c>
      <c r="I413" s="58" t="str">
        <f>IF(H413&gt;0, MAX(I$1:I412)+1, "")</f>
        <v/>
      </c>
    </row>
    <row r="414" spans="1:9" x14ac:dyDescent="0.2">
      <c r="A414" t="s">
        <v>1443</v>
      </c>
      <c r="B414" t="str">
        <f>'PVC Sanit Gris'!A35</f>
        <v>Conducción Fluidos</v>
      </c>
      <c r="C414" t="str">
        <f>'PVC Sanit Gris'!B35</f>
        <v>PVC SANITARIO GRIS</v>
      </c>
      <c r="D414">
        <f>'PVC Sanit Gris'!F35</f>
        <v>341305</v>
      </c>
      <c r="E414" t="str">
        <f>'PVC Sanit Gris'!G35</f>
        <v>PVC SAN GRIS FT TEE 40 40 I</v>
      </c>
      <c r="F414">
        <f>'PVC Sanit Gris'!H35</f>
        <v>18</v>
      </c>
      <c r="G414" t="str">
        <f>'PVC Sanit Gris'!I35</f>
        <v>Caja</v>
      </c>
      <c r="H414">
        <f>IFERROR(IF('PVC Sanit Gris'!J35="",0,'PVC Sanit Gris'!J35),0)</f>
        <v>0</v>
      </c>
      <c r="I414" s="58" t="str">
        <f>IF(H414&gt;0, MAX(I$1:I413)+1, "")</f>
        <v/>
      </c>
    </row>
    <row r="415" spans="1:9" x14ac:dyDescent="0.2">
      <c r="A415" t="s">
        <v>1443</v>
      </c>
      <c r="B415" t="str">
        <f>'PVC Sanit Gris'!A36</f>
        <v>Conducción Fluidos</v>
      </c>
      <c r="C415" t="str">
        <f>'PVC Sanit Gris'!B36</f>
        <v>PVC SANITARIO GRIS</v>
      </c>
      <c r="D415">
        <f>'PVC Sanit Gris'!F36</f>
        <v>341306</v>
      </c>
      <c r="E415" t="str">
        <f>'PVC Sanit Gris'!G36</f>
        <v>PVC SAN GRIS FT TEE 50 50 I</v>
      </c>
      <c r="F415">
        <f>'PVC Sanit Gris'!H36</f>
        <v>10</v>
      </c>
      <c r="G415" t="str">
        <f>'PVC Sanit Gris'!I36</f>
        <v>Caja</v>
      </c>
      <c r="H415">
        <f>IFERROR(IF('PVC Sanit Gris'!J36="",0,'PVC Sanit Gris'!J36),0)</f>
        <v>0</v>
      </c>
      <c r="I415" s="58" t="str">
        <f>IF(H415&gt;0, MAX(I$1:I414)+1, "")</f>
        <v/>
      </c>
    </row>
    <row r="416" spans="1:9" x14ac:dyDescent="0.2">
      <c r="A416" t="s">
        <v>1443</v>
      </c>
      <c r="B416" t="str">
        <f>'PVC Sanit Gris'!A37</f>
        <v>Conducción Fluidos</v>
      </c>
      <c r="C416" t="str">
        <f>'PVC Sanit Gris'!B37</f>
        <v>PVC SANITARIO GRIS</v>
      </c>
      <c r="D416">
        <f>'PVC Sanit Gris'!F37</f>
        <v>341308</v>
      </c>
      <c r="E416" t="str">
        <f>'PVC Sanit Gris'!G37</f>
        <v>PVC SAN GRIS FT TEE 75 75 I</v>
      </c>
      <c r="F416">
        <f>'PVC Sanit Gris'!H37</f>
        <v>9</v>
      </c>
      <c r="G416" t="str">
        <f>'PVC Sanit Gris'!I37</f>
        <v>Caja</v>
      </c>
      <c r="H416">
        <f>IFERROR(IF('PVC Sanit Gris'!J37="",0,'PVC Sanit Gris'!J37),0)</f>
        <v>0</v>
      </c>
      <c r="I416" s="58" t="str">
        <f>IF(H416&gt;0, MAX(I$1:I415)+1, "")</f>
        <v/>
      </c>
    </row>
    <row r="417" spans="1:9" x14ac:dyDescent="0.2">
      <c r="A417" t="s">
        <v>1443</v>
      </c>
      <c r="B417" t="str">
        <f>'PVC Sanit Gris'!A38</f>
        <v>Conducción Fluidos</v>
      </c>
      <c r="C417" t="str">
        <f>'PVC Sanit Gris'!B38</f>
        <v>PVC SANITARIO GRIS</v>
      </c>
      <c r="D417">
        <f>'PVC Sanit Gris'!F38</f>
        <v>341310</v>
      </c>
      <c r="E417" t="str">
        <f>'PVC Sanit Gris'!G38</f>
        <v>PVC SAN GRIS FT TEE 110 110 I</v>
      </c>
      <c r="F417">
        <f>'PVC Sanit Gris'!H38</f>
        <v>6</v>
      </c>
      <c r="G417" t="str">
        <f>'PVC Sanit Gris'!I38</f>
        <v>Caja</v>
      </c>
      <c r="H417">
        <f>IFERROR(IF('PVC Sanit Gris'!J38="",0,'PVC Sanit Gris'!J38),0)</f>
        <v>0</v>
      </c>
      <c r="I417" s="58" t="str">
        <f>IF(H417&gt;0, MAX(I$1:I416)+1, "")</f>
        <v/>
      </c>
    </row>
    <row r="418" spans="1:9" x14ac:dyDescent="0.2">
      <c r="A418" t="s">
        <v>1443</v>
      </c>
      <c r="B418" t="str">
        <f>'PVC Sanit Gris'!A39</f>
        <v>Conducción Fluidos</v>
      </c>
      <c r="C418" t="str">
        <f>'PVC Sanit Gris'!B39</f>
        <v>PVC SANITARIO GRIS</v>
      </c>
      <c r="D418">
        <f>'PVC Sanit Gris'!F39</f>
        <v>41312</v>
      </c>
      <c r="E418" t="str">
        <f>'PVC Sanit Gris'!G39</f>
        <v>PVC SAN GRIS FT TEE RED 75 40 N</v>
      </c>
      <c r="F418">
        <f>'PVC Sanit Gris'!H39</f>
        <v>18</v>
      </c>
      <c r="G418" t="str">
        <f>'PVC Sanit Gris'!I39</f>
        <v>Caja</v>
      </c>
      <c r="H418">
        <f>IFERROR(IF('PVC Sanit Gris'!J39="",0,'PVC Sanit Gris'!J39),0)</f>
        <v>0</v>
      </c>
      <c r="I418" s="58" t="str">
        <f>IF(H418&gt;0, MAX(I$1:I417)+1, "")</f>
        <v/>
      </c>
    </row>
    <row r="419" spans="1:9" x14ac:dyDescent="0.2">
      <c r="A419" t="s">
        <v>1443</v>
      </c>
      <c r="B419" t="str">
        <f>'PVC Sanit Gris'!A40</f>
        <v>Conducción Fluidos</v>
      </c>
      <c r="C419" t="str">
        <f>'PVC Sanit Gris'!B40</f>
        <v>PVC SANITARIO GRIS</v>
      </c>
      <c r="D419">
        <f>'PVC Sanit Gris'!F40</f>
        <v>341313</v>
      </c>
      <c r="E419" t="str">
        <f>'PVC Sanit Gris'!G40</f>
        <v>PVC SAN GRIS FT TEE RED 75 50 I</v>
      </c>
      <c r="F419">
        <f>'PVC Sanit Gris'!H40</f>
        <v>24</v>
      </c>
      <c r="G419" t="str">
        <f>'PVC Sanit Gris'!I40</f>
        <v>Caja</v>
      </c>
      <c r="H419">
        <f>IFERROR(IF('PVC Sanit Gris'!J40="",0,'PVC Sanit Gris'!J40),0)</f>
        <v>0</v>
      </c>
      <c r="I419" s="58" t="str">
        <f>IF(H419&gt;0, MAX(I$1:I418)+1, "")</f>
        <v/>
      </c>
    </row>
    <row r="420" spans="1:9" x14ac:dyDescent="0.2">
      <c r="A420" t="s">
        <v>1443</v>
      </c>
      <c r="B420" t="str">
        <f>'PVC Sanit Gris'!A41</f>
        <v>Conducción Fluidos</v>
      </c>
      <c r="C420" t="str">
        <f>'PVC Sanit Gris'!B41</f>
        <v>PVC SANITARIO GRIS</v>
      </c>
      <c r="D420">
        <f>'PVC Sanit Gris'!F41</f>
        <v>341314</v>
      </c>
      <c r="E420" t="str">
        <f>'PVC Sanit Gris'!G41</f>
        <v>PVC SAN GRIS FT TEE RED 110 40 I</v>
      </c>
      <c r="F420">
        <f>'PVC Sanit Gris'!H41</f>
        <v>18</v>
      </c>
      <c r="G420" t="str">
        <f>'PVC Sanit Gris'!I41</f>
        <v>Caja</v>
      </c>
      <c r="H420">
        <f>IFERROR(IF('PVC Sanit Gris'!J41="",0,'PVC Sanit Gris'!J41),0)</f>
        <v>0</v>
      </c>
      <c r="I420" s="58" t="str">
        <f>IF(H420&gt;0, MAX(I$1:I419)+1, "")</f>
        <v/>
      </c>
    </row>
    <row r="421" spans="1:9" x14ac:dyDescent="0.2">
      <c r="A421" t="s">
        <v>1443</v>
      </c>
      <c r="B421" t="str">
        <f>'PVC Sanit Gris'!A42</f>
        <v>Conducción Fluidos</v>
      </c>
      <c r="C421" t="str">
        <f>'PVC Sanit Gris'!B42</f>
        <v>PVC SANITARIO GRIS</v>
      </c>
      <c r="D421">
        <f>'PVC Sanit Gris'!F42</f>
        <v>341315</v>
      </c>
      <c r="E421" t="str">
        <f>'PVC Sanit Gris'!G42</f>
        <v>PVC SAN GRIS FT TEE RED 110 50 I</v>
      </c>
      <c r="F421">
        <f>'PVC Sanit Gris'!H42</f>
        <v>9</v>
      </c>
      <c r="G421" t="str">
        <f>'PVC Sanit Gris'!I42</f>
        <v>Caja</v>
      </c>
      <c r="H421">
        <f>IFERROR(IF('PVC Sanit Gris'!J42="",0,'PVC Sanit Gris'!J42),0)</f>
        <v>0</v>
      </c>
      <c r="I421" s="58" t="str">
        <f>IF(H421&gt;0, MAX(I$1:I420)+1, "")</f>
        <v/>
      </c>
    </row>
    <row r="422" spans="1:9" x14ac:dyDescent="0.2">
      <c r="A422" t="s">
        <v>1443</v>
      </c>
      <c r="B422" t="str">
        <f>'PVC Sanit Gris'!A43</f>
        <v>Conducción Fluidos</v>
      </c>
      <c r="C422" t="str">
        <f>'PVC Sanit Gris'!B43</f>
        <v>PVC SANITARIO GRIS</v>
      </c>
      <c r="D422">
        <f>'PVC Sanit Gris'!F43</f>
        <v>341316</v>
      </c>
      <c r="E422" t="str">
        <f>'PVC Sanit Gris'!G43</f>
        <v>PVC SAN GRIS FT TEE RED 110 75 I</v>
      </c>
      <c r="F422">
        <f>'PVC Sanit Gris'!H43</f>
        <v>9</v>
      </c>
      <c r="G422" t="str">
        <f>'PVC Sanit Gris'!I43</f>
        <v>Caja</v>
      </c>
      <c r="H422">
        <f>IFERROR(IF('PVC Sanit Gris'!J43="",0,'PVC Sanit Gris'!J43),0)</f>
        <v>0</v>
      </c>
      <c r="I422" s="58" t="str">
        <f>IF(H422&gt;0, MAX(I$1:I421)+1, "")</f>
        <v/>
      </c>
    </row>
    <row r="423" spans="1:9" x14ac:dyDescent="0.2">
      <c r="A423" t="s">
        <v>1443</v>
      </c>
      <c r="B423" t="str">
        <f>'PVC Sanit Gris'!A44</f>
        <v>Conducción Fluidos</v>
      </c>
      <c r="C423" t="str">
        <f>'PVC Sanit Gris'!B44</f>
        <v>PVC SANITARIO GRIS</v>
      </c>
      <c r="D423">
        <f>'PVC Sanit Gris'!F44</f>
        <v>41608</v>
      </c>
      <c r="E423" t="str">
        <f>'PVC Sanit Gris'!G44</f>
        <v>PVC SAN GRIS FT TEE REG 75 N</v>
      </c>
      <c r="F423">
        <f>'PVC Sanit Gris'!H44</f>
        <v>1</v>
      </c>
      <c r="G423" t="str">
        <f>'PVC Sanit Gris'!I44</f>
        <v>Caja</v>
      </c>
      <c r="H423">
        <f>IFERROR(IF('PVC Sanit Gris'!J44="",0,'PVC Sanit Gris'!J44),0)</f>
        <v>0</v>
      </c>
      <c r="I423" s="58" t="str">
        <f>IF(H423&gt;0, MAX(I$1:I422)+1, "")</f>
        <v/>
      </c>
    </row>
    <row r="424" spans="1:9" x14ac:dyDescent="0.2">
      <c r="A424" t="s">
        <v>1443</v>
      </c>
      <c r="B424" t="str">
        <f>'PVC Sanit Gris'!A45</f>
        <v>Conducción Fluidos</v>
      </c>
      <c r="C424" t="str">
        <f>'PVC Sanit Gris'!B45</f>
        <v>PVC SANITARIO GRIS</v>
      </c>
      <c r="D424">
        <f>'PVC Sanit Gris'!F45</f>
        <v>41610</v>
      </c>
      <c r="E424" t="str">
        <f>'PVC Sanit Gris'!G45</f>
        <v>PVC SAN GRIS FT TEE REG 110 N</v>
      </c>
      <c r="F424">
        <f>'PVC Sanit Gris'!H45</f>
        <v>1</v>
      </c>
      <c r="G424" t="str">
        <f>'PVC Sanit Gris'!I45</f>
        <v>Caja</v>
      </c>
      <c r="H424">
        <f>IFERROR(IF('PVC Sanit Gris'!J45="",0,'PVC Sanit Gris'!J45),0)</f>
        <v>0</v>
      </c>
      <c r="I424" s="58" t="str">
        <f>IF(H424&gt;0, MAX(I$1:I423)+1, "")</f>
        <v/>
      </c>
    </row>
    <row r="425" spans="1:9" x14ac:dyDescent="0.2">
      <c r="A425" t="s">
        <v>1443</v>
      </c>
      <c r="B425" t="str">
        <f>'PVC Sanit Gris'!A46</f>
        <v>Conducción Fluidos</v>
      </c>
      <c r="C425" t="str">
        <f>'PVC Sanit Gris'!B46</f>
        <v>PVC SANITARIO GRIS</v>
      </c>
      <c r="D425">
        <f>'PVC Sanit Gris'!F46</f>
        <v>341705</v>
      </c>
      <c r="E425" t="str">
        <f>'PVC Sanit Gris'!G46</f>
        <v>PVC SAN GRIS FT VEE 40  40 I</v>
      </c>
      <c r="F425">
        <f>'PVC Sanit Gris'!H46</f>
        <v>18</v>
      </c>
      <c r="G425" t="str">
        <f>'PVC Sanit Gris'!I46</f>
        <v>Caja</v>
      </c>
      <c r="H425">
        <f>IFERROR(IF('PVC Sanit Gris'!J46="",0,'PVC Sanit Gris'!J46),0)</f>
        <v>0</v>
      </c>
      <c r="I425" s="58" t="str">
        <f>IF(H425&gt;0, MAX(I$1:I424)+1, "")</f>
        <v/>
      </c>
    </row>
    <row r="426" spans="1:9" x14ac:dyDescent="0.2">
      <c r="A426" t="s">
        <v>1443</v>
      </c>
      <c r="B426" t="str">
        <f>'PVC Sanit Gris'!A47</f>
        <v>Conducción Fluidos</v>
      </c>
      <c r="C426" t="str">
        <f>'PVC Sanit Gris'!B47</f>
        <v>PVC SANITARIO GRIS</v>
      </c>
      <c r="D426">
        <f>'PVC Sanit Gris'!F47</f>
        <v>341706</v>
      </c>
      <c r="E426" t="str">
        <f>'PVC Sanit Gris'!G47</f>
        <v>PVC SAN GRIS FT VEE 50  50 I</v>
      </c>
      <c r="F426">
        <f>'PVC Sanit Gris'!H47</f>
        <v>18</v>
      </c>
      <c r="G426" t="str">
        <f>'PVC Sanit Gris'!I47</f>
        <v>Caja</v>
      </c>
      <c r="H426">
        <f>IFERROR(IF('PVC Sanit Gris'!J47="",0,'PVC Sanit Gris'!J47),0)</f>
        <v>0</v>
      </c>
      <c r="I426" s="58" t="str">
        <f>IF(H426&gt;0, MAX(I$1:I425)+1, "")</f>
        <v/>
      </c>
    </row>
    <row r="427" spans="1:9" x14ac:dyDescent="0.2">
      <c r="A427" t="s">
        <v>1443</v>
      </c>
      <c r="B427" t="str">
        <f>'PVC Sanit Gris'!A48</f>
        <v>Conducción Fluidos</v>
      </c>
      <c r="C427" t="str">
        <f>'PVC Sanit Gris'!B48</f>
        <v>PVC SANITARIO GRIS</v>
      </c>
      <c r="D427">
        <f>'PVC Sanit Gris'!F48</f>
        <v>341708</v>
      </c>
      <c r="E427" t="str">
        <f>'PVC Sanit Gris'!G48</f>
        <v>PVC SAN GRIS FT VEE 75  75  I</v>
      </c>
      <c r="F427">
        <f>'PVC Sanit Gris'!H48</f>
        <v>12</v>
      </c>
      <c r="G427" t="str">
        <f>'PVC Sanit Gris'!I48</f>
        <v>Caja</v>
      </c>
      <c r="H427">
        <f>IFERROR(IF('PVC Sanit Gris'!J48="",0,'PVC Sanit Gris'!J48),0)</f>
        <v>0</v>
      </c>
      <c r="I427" s="58" t="str">
        <f>IF(H427&gt;0, MAX(I$1:I426)+1, "")</f>
        <v/>
      </c>
    </row>
    <row r="428" spans="1:9" x14ac:dyDescent="0.2">
      <c r="A428" t="s">
        <v>1443</v>
      </c>
      <c r="B428" t="str">
        <f>'PVC Sanit Gris'!A49</f>
        <v>Conducción Fluidos</v>
      </c>
      <c r="C428" t="str">
        <f>'PVC Sanit Gris'!B49</f>
        <v>PVC SANITARIO GRIS</v>
      </c>
      <c r="D428">
        <f>'PVC Sanit Gris'!F49</f>
        <v>341710</v>
      </c>
      <c r="E428" t="str">
        <f>'PVC Sanit Gris'!G49</f>
        <v>PVC SAN GRIS FT VEE 110 110 I</v>
      </c>
      <c r="F428">
        <f>'PVC Sanit Gris'!H49</f>
        <v>10</v>
      </c>
      <c r="G428" t="str">
        <f>'PVC Sanit Gris'!I49</f>
        <v>Caja</v>
      </c>
      <c r="H428">
        <f>IFERROR(IF('PVC Sanit Gris'!J49="",0,'PVC Sanit Gris'!J49),0)</f>
        <v>0</v>
      </c>
      <c r="I428" s="58" t="str">
        <f>IF(H428&gt;0, MAX(I$1:I427)+1, "")</f>
        <v/>
      </c>
    </row>
    <row r="429" spans="1:9" x14ac:dyDescent="0.2">
      <c r="A429" t="s">
        <v>1443</v>
      </c>
      <c r="B429" t="str">
        <f>'PVC Sanit Gris'!A50</f>
        <v>Conducción Fluidos</v>
      </c>
      <c r="C429" t="str">
        <f>'PVC Sanit Gris'!B50</f>
        <v>PVC SANITARIO GRIS</v>
      </c>
      <c r="D429">
        <f>'PVC Sanit Gris'!F50</f>
        <v>41712</v>
      </c>
      <c r="E429" t="str">
        <f>'PVC Sanit Gris'!G50</f>
        <v>PVC SAN GRIS FT VEE RED 75  40  N</v>
      </c>
      <c r="F429">
        <f>'PVC Sanit Gris'!H50</f>
        <v>15</v>
      </c>
      <c r="G429" t="str">
        <f>'PVC Sanit Gris'!I50</f>
        <v>Caja</v>
      </c>
      <c r="H429">
        <f>IFERROR(IF('PVC Sanit Gris'!J50="",0,'PVC Sanit Gris'!J50),0)</f>
        <v>0</v>
      </c>
      <c r="I429" s="58" t="str">
        <f>IF(H429&gt;0, MAX(I$1:I428)+1, "")</f>
        <v/>
      </c>
    </row>
    <row r="430" spans="1:9" x14ac:dyDescent="0.2">
      <c r="A430" t="s">
        <v>1443</v>
      </c>
      <c r="B430" t="str">
        <f>'PVC Sanit Gris'!A51</f>
        <v>Conducción Fluidos</v>
      </c>
      <c r="C430" t="str">
        <f>'PVC Sanit Gris'!B51</f>
        <v>PVC SANITARIO GRIS</v>
      </c>
      <c r="D430">
        <f>'PVC Sanit Gris'!F51</f>
        <v>341713</v>
      </c>
      <c r="E430" t="str">
        <f>'PVC Sanit Gris'!G51</f>
        <v>PVC SAN GRIS FT VEE RED 75  50  I</v>
      </c>
      <c r="F430">
        <f>'PVC Sanit Gris'!H51</f>
        <v>15</v>
      </c>
      <c r="G430" t="str">
        <f>'PVC Sanit Gris'!I51</f>
        <v>Caja</v>
      </c>
      <c r="H430">
        <f>IFERROR(IF('PVC Sanit Gris'!J51="",0,'PVC Sanit Gris'!J51),0)</f>
        <v>0</v>
      </c>
      <c r="I430" s="58" t="str">
        <f>IF(H430&gt;0, MAX(I$1:I429)+1, "")</f>
        <v/>
      </c>
    </row>
    <row r="431" spans="1:9" x14ac:dyDescent="0.2">
      <c r="A431" t="s">
        <v>1443</v>
      </c>
      <c r="B431" t="str">
        <f>'PVC Sanit Gris'!A52</f>
        <v>Conducción Fluidos</v>
      </c>
      <c r="C431" t="str">
        <f>'PVC Sanit Gris'!B52</f>
        <v>PVC SANITARIO GRIS</v>
      </c>
      <c r="D431">
        <f>'PVC Sanit Gris'!F52</f>
        <v>341714</v>
      </c>
      <c r="E431" t="str">
        <f>'PVC Sanit Gris'!G52</f>
        <v>PVC SAN GRIS FT VEE RED 110  40  I</v>
      </c>
      <c r="F431">
        <f>'PVC Sanit Gris'!H52</f>
        <v>15</v>
      </c>
      <c r="G431" t="str">
        <f>'PVC Sanit Gris'!I52</f>
        <v>Caja</v>
      </c>
      <c r="H431">
        <f>IFERROR(IF('PVC Sanit Gris'!J52="",0,'PVC Sanit Gris'!J52),0)</f>
        <v>0</v>
      </c>
      <c r="I431" s="58" t="str">
        <f>IF(H431&gt;0, MAX(I$1:I430)+1, "")</f>
        <v/>
      </c>
    </row>
    <row r="432" spans="1:9" x14ac:dyDescent="0.2">
      <c r="A432" t="s">
        <v>1443</v>
      </c>
      <c r="B432" t="str">
        <f>'PVC Sanit Gris'!A53</f>
        <v>Conducción Fluidos</v>
      </c>
      <c r="C432" t="str">
        <f>'PVC Sanit Gris'!B53</f>
        <v>PVC SANITARIO GRIS</v>
      </c>
      <c r="D432">
        <f>'PVC Sanit Gris'!F53</f>
        <v>341715</v>
      </c>
      <c r="E432" t="str">
        <f>'PVC Sanit Gris'!G53</f>
        <v>PVC SAN GRIS FT VEE RED 110  50  I</v>
      </c>
      <c r="F432">
        <f>'PVC Sanit Gris'!H53</f>
        <v>15</v>
      </c>
      <c r="G432" t="str">
        <f>'PVC Sanit Gris'!I53</f>
        <v>Caja</v>
      </c>
      <c r="H432">
        <f>IFERROR(IF('PVC Sanit Gris'!J53="",0,'PVC Sanit Gris'!J53),0)</f>
        <v>0</v>
      </c>
      <c r="I432" s="58" t="str">
        <f>IF(H432&gt;0, MAX(I$1:I431)+1, "")</f>
        <v/>
      </c>
    </row>
    <row r="433" spans="1:9" x14ac:dyDescent="0.2">
      <c r="A433" t="s">
        <v>1443</v>
      </c>
      <c r="B433" t="str">
        <f>'PVC Sanit Gris'!A54</f>
        <v>Conducción Fluidos</v>
      </c>
      <c r="C433" t="str">
        <f>'PVC Sanit Gris'!B54</f>
        <v>PVC SANITARIO GRIS</v>
      </c>
      <c r="D433">
        <f>'PVC Sanit Gris'!F54</f>
        <v>341716</v>
      </c>
      <c r="E433" t="str">
        <f>'PVC Sanit Gris'!G54</f>
        <v>PVC SAN GRIS FT VEE RED 110  75  I</v>
      </c>
      <c r="F433">
        <f>'PVC Sanit Gris'!H54</f>
        <v>10</v>
      </c>
      <c r="G433" t="str">
        <f>'PVC Sanit Gris'!I54</f>
        <v>Caja</v>
      </c>
      <c r="H433">
        <f>IFERROR(IF('PVC Sanit Gris'!J54="",0,'PVC Sanit Gris'!J54),0)</f>
        <v>0</v>
      </c>
      <c r="I433" s="58" t="str">
        <f>IF(H433&gt;0, MAX(I$1:I432)+1, "")</f>
        <v/>
      </c>
    </row>
    <row r="434" spans="1:9" x14ac:dyDescent="0.2">
      <c r="A434" t="s">
        <v>1443</v>
      </c>
      <c r="B434" t="str">
        <f>'PVC Sanit Gris'!A55</f>
        <v>Conducción Fluidos</v>
      </c>
      <c r="C434" t="str">
        <f>'PVC Sanit Gris'!B55</f>
        <v>PVC SANITARIO GRIS</v>
      </c>
      <c r="D434">
        <f>'PVC Sanit Gris'!F55</f>
        <v>41805</v>
      </c>
      <c r="E434" t="str">
        <f>'PVC Sanit Gris'!G55</f>
        <v>PVC SAN GRIS ACC ABRAZADERA 40 N</v>
      </c>
      <c r="F434">
        <f>'PVC Sanit Gris'!H55</f>
        <v>10</v>
      </c>
      <c r="G434" t="str">
        <f>'PVC Sanit Gris'!I55</f>
        <v>Bolsa</v>
      </c>
      <c r="H434">
        <f>IFERROR(IF('PVC Sanit Gris'!J55="",0,'PVC Sanit Gris'!J55),0)</f>
        <v>0</v>
      </c>
      <c r="I434" s="58" t="str">
        <f>IF(H434&gt;0, MAX(I$1:I433)+1, "")</f>
        <v/>
      </c>
    </row>
    <row r="435" spans="1:9" x14ac:dyDescent="0.2">
      <c r="A435" t="s">
        <v>1443</v>
      </c>
      <c r="B435" t="str">
        <f>'PVC Sanit Gris'!A56</f>
        <v>Conducción Fluidos</v>
      </c>
      <c r="C435" t="str">
        <f>'PVC Sanit Gris'!B56</f>
        <v>PVC SANITARIO GRIS</v>
      </c>
      <c r="D435">
        <f>'PVC Sanit Gris'!F56</f>
        <v>41806</v>
      </c>
      <c r="E435" t="str">
        <f>'PVC Sanit Gris'!G56</f>
        <v>PVC SAN GRIS ACC ABRAZADERA 50 N</v>
      </c>
      <c r="F435">
        <f>'PVC Sanit Gris'!H56</f>
        <v>10</v>
      </c>
      <c r="G435" t="str">
        <f>'PVC Sanit Gris'!I56</f>
        <v>Bolsa</v>
      </c>
      <c r="H435">
        <f>IFERROR(IF('PVC Sanit Gris'!J56="",0,'PVC Sanit Gris'!J56),0)</f>
        <v>0</v>
      </c>
      <c r="I435" s="58" t="str">
        <f>IF(H435&gt;0, MAX(I$1:I434)+1, "")</f>
        <v/>
      </c>
    </row>
    <row r="436" spans="1:9" x14ac:dyDescent="0.2">
      <c r="A436" t="s">
        <v>1443</v>
      </c>
      <c r="B436" t="str">
        <f>'PVC Sanit Gris'!A57</f>
        <v>Conducción Fluidos</v>
      </c>
      <c r="C436" t="str">
        <f>'PVC Sanit Gris'!B57</f>
        <v>PVC SANITARIO GRIS</v>
      </c>
      <c r="D436">
        <f>'PVC Sanit Gris'!F57</f>
        <v>41808</v>
      </c>
      <c r="E436" t="str">
        <f>'PVC Sanit Gris'!G57</f>
        <v>PVC SAN GRIS ACC ABRAZADERA 75 N</v>
      </c>
      <c r="F436">
        <f>'PVC Sanit Gris'!H57</f>
        <v>10</v>
      </c>
      <c r="G436" t="str">
        <f>'PVC Sanit Gris'!I57</f>
        <v>Bolsa</v>
      </c>
      <c r="H436">
        <f>IFERROR(IF('PVC Sanit Gris'!J57="",0,'PVC Sanit Gris'!J57),0)</f>
        <v>0</v>
      </c>
      <c r="I436" s="58" t="str">
        <f>IF(H436&gt;0, MAX(I$1:I435)+1, "")</f>
        <v/>
      </c>
    </row>
    <row r="437" spans="1:9" x14ac:dyDescent="0.2">
      <c r="A437" t="s">
        <v>1443</v>
      </c>
      <c r="B437" t="str">
        <f>'PVC Sanit Gris'!A58</f>
        <v>Conducción Fluidos</v>
      </c>
      <c r="C437" t="str">
        <f>'PVC Sanit Gris'!B58</f>
        <v>PVC SANITARIO GRIS</v>
      </c>
      <c r="D437">
        <f>'PVC Sanit Gris'!F58</f>
        <v>41810</v>
      </c>
      <c r="E437" t="str">
        <f>'PVC Sanit Gris'!G58</f>
        <v>PVC SAN GRIS ACC ABRAZADERA 110 N</v>
      </c>
      <c r="F437">
        <f>'PVC Sanit Gris'!H58</f>
        <v>10</v>
      </c>
      <c r="G437" t="str">
        <f>'PVC Sanit Gris'!I58</f>
        <v>Bolsa</v>
      </c>
      <c r="H437">
        <f>IFERROR(IF('PVC Sanit Gris'!J58="",0,'PVC Sanit Gris'!J58),0)</f>
        <v>0</v>
      </c>
      <c r="I437" s="58" t="str">
        <f>IF(H437&gt;0, MAX(I$1:I436)+1, "")</f>
        <v/>
      </c>
    </row>
    <row r="438" spans="1:9" x14ac:dyDescent="0.2">
      <c r="A438" t="s">
        <v>1443</v>
      </c>
      <c r="B438" t="str">
        <f>'PVC Sanit Gris'!A59</f>
        <v>Conducción Fluidos</v>
      </c>
      <c r="C438" t="str">
        <f>'PVC Sanit Gris'!B59</f>
        <v>PVC SANITARIO GRIS</v>
      </c>
      <c r="D438">
        <f>'PVC Sanit Gris'!F59</f>
        <v>41901</v>
      </c>
      <c r="E438" t="str">
        <f>'PVC Sanit Gris'!G59</f>
        <v>PVC SAN GRIS ACC PILETA 110 50/40 . N</v>
      </c>
      <c r="F438">
        <f>'PVC Sanit Gris'!H59</f>
        <v>4</v>
      </c>
      <c r="G438" t="str">
        <f>'PVC Sanit Gris'!I59</f>
        <v>Unitario</v>
      </c>
      <c r="H438">
        <f>IFERROR(IF('PVC Sanit Gris'!J59="",0,'PVC Sanit Gris'!J59),0)</f>
        <v>0</v>
      </c>
      <c r="I438" s="58" t="str">
        <f>IF(H438&gt;0, MAX(I$1:I437)+1, "")</f>
        <v/>
      </c>
    </row>
    <row r="439" spans="1:9" x14ac:dyDescent="0.2">
      <c r="A439" t="s">
        <v>1443</v>
      </c>
      <c r="B439" t="str">
        <f>'PVC Sanit Gris'!A60</f>
        <v>Conducción Fluidos</v>
      </c>
      <c r="C439" t="str">
        <f>'PVC Sanit Gris'!B60</f>
        <v>PVC SANITARIO GRIS</v>
      </c>
      <c r="D439">
        <f>'PVC Sanit Gris'!F60</f>
        <v>41902</v>
      </c>
      <c r="E439" t="str">
        <f>'PVC Sanit Gris'!G60</f>
        <v>PVC SAN GRIS ACC PILETA 110 UNIVERSAL N</v>
      </c>
      <c r="F439">
        <f>'PVC Sanit Gris'!H60</f>
        <v>4</v>
      </c>
      <c r="G439" t="str">
        <f>'PVC Sanit Gris'!I60</f>
        <v>Unitario</v>
      </c>
      <c r="H439">
        <f>IFERROR(IF('PVC Sanit Gris'!J60="",0,'PVC Sanit Gris'!J60),0)</f>
        <v>0</v>
      </c>
      <c r="I439" s="58" t="str">
        <f>IF(H439&gt;0, MAX(I$1:I438)+1, "")</f>
        <v/>
      </c>
    </row>
    <row r="440" spans="1:9" x14ac:dyDescent="0.2">
      <c r="A440" t="s">
        <v>1443</v>
      </c>
      <c r="B440" t="str">
        <f>'PVC Sanit Gris'!A61</f>
        <v>Conducción Fluidos</v>
      </c>
      <c r="C440" t="str">
        <f>'PVC Sanit Gris'!B61</f>
        <v>PVC SANITARIO GRIS</v>
      </c>
      <c r="D440">
        <f>'PVC Sanit Gris'!F61</f>
        <v>41903</v>
      </c>
      <c r="E440" t="str">
        <f>'PVC Sanit Gris'!G61</f>
        <v>PVC SAN GRIS ACC REJILLA REP PILETA N</v>
      </c>
      <c r="F440">
        <f>'PVC Sanit Gris'!H61</f>
        <v>10</v>
      </c>
      <c r="G440" t="str">
        <f>'PVC Sanit Gris'!I61</f>
        <v>Bolsa</v>
      </c>
      <c r="H440">
        <f>IFERROR(IF('PVC Sanit Gris'!J61="",0,'PVC Sanit Gris'!J61),0)</f>
        <v>0</v>
      </c>
      <c r="I440" s="58" t="str">
        <f>IF(H440&gt;0, MAX(I$1:I439)+1, "")</f>
        <v/>
      </c>
    </row>
    <row r="441" spans="1:9" x14ac:dyDescent="0.2">
      <c r="A441" t="s">
        <v>1444</v>
      </c>
      <c r="B441" t="str">
        <f>'PVC Gris Oscuro No Certif.'!A3</f>
        <v>Conducción Fluidos</v>
      </c>
      <c r="C441" t="str">
        <f>'PVC Gris Oscuro No Certif.'!B3</f>
        <v>TUBERÍA PLUVIAL EXT. GRIS OSCURO NO CERT.</v>
      </c>
      <c r="D441">
        <f>'PVC Gris Oscuro No Certif.'!F3</f>
        <v>13305</v>
      </c>
      <c r="E441" t="str">
        <f>'PVC Gris Oscuro No Certif.'!G3</f>
        <v>PVC GRIS OSC TUBO 6M PLUV EXT N.C. 40</v>
      </c>
      <c r="F441">
        <f>'PVC Gris Oscuro No Certif.'!H3</f>
        <v>1</v>
      </c>
      <c r="G441" t="str">
        <f>'PVC Gris Oscuro No Certif.'!I3</f>
        <v>Unitario</v>
      </c>
      <c r="H441">
        <f>IFERROR(IF('PVC Gris Oscuro No Certif.'!J3="",0,'PVC Gris Oscuro No Certif.'!J3),0)</f>
        <v>0</v>
      </c>
      <c r="I441" s="58" t="str">
        <f>IF(H441&gt;0, MAX(I$1:I440)+1, "")</f>
        <v/>
      </c>
    </row>
    <row r="442" spans="1:9" x14ac:dyDescent="0.2">
      <c r="A442" t="s">
        <v>1444</v>
      </c>
      <c r="B442" t="str">
        <f>'PVC Gris Oscuro No Certif.'!A4</f>
        <v>Conducción Fluidos</v>
      </c>
      <c r="C442" t="str">
        <f>'PVC Gris Oscuro No Certif.'!B4</f>
        <v>TUBERÍA PLUVIAL EXT. GRIS OSCURO NO CERT.</v>
      </c>
      <c r="D442">
        <f>'PVC Gris Oscuro No Certif.'!F4</f>
        <v>13306</v>
      </c>
      <c r="E442" t="str">
        <f>'PVC Gris Oscuro No Certif.'!G4</f>
        <v>PVC GRIS OSC TUBO 6M PLUV EXT N.C. 50</v>
      </c>
      <c r="F442">
        <f>'PVC Gris Oscuro No Certif.'!H4</f>
        <v>1</v>
      </c>
      <c r="G442" t="str">
        <f>'PVC Gris Oscuro No Certif.'!I4</f>
        <v>Unitario</v>
      </c>
      <c r="H442">
        <f>IFERROR(IF('PVC Gris Oscuro No Certif.'!J4="",0,'PVC Gris Oscuro No Certif.'!J4),0)</f>
        <v>0</v>
      </c>
      <c r="I442" s="58" t="str">
        <f>IF(H442&gt;0, MAX(I$1:I441)+1, "")</f>
        <v/>
      </c>
    </row>
    <row r="443" spans="1:9" x14ac:dyDescent="0.2">
      <c r="A443" t="s">
        <v>1444</v>
      </c>
      <c r="B443" t="str">
        <f>'PVC Gris Oscuro No Certif.'!A5</f>
        <v>Conducción Fluidos</v>
      </c>
      <c r="C443" t="str">
        <f>'PVC Gris Oscuro No Certif.'!B5</f>
        <v>TUBERÍA PLUVIAL EXT. GRIS OSCURO NO CERT.</v>
      </c>
      <c r="D443">
        <f>'PVC Gris Oscuro No Certif.'!F5</f>
        <v>13308</v>
      </c>
      <c r="E443" t="str">
        <f>'PVC Gris Oscuro No Certif.'!G5</f>
        <v>PVC GRIS OSC TUBO 6M PLUV EXT N.C. 75</v>
      </c>
      <c r="F443">
        <f>'PVC Gris Oscuro No Certif.'!H5</f>
        <v>1</v>
      </c>
      <c r="G443" t="str">
        <f>'PVC Gris Oscuro No Certif.'!I5</f>
        <v>Unitario</v>
      </c>
      <c r="H443">
        <f>IFERROR(IF('PVC Gris Oscuro No Certif.'!J5="",0,'PVC Gris Oscuro No Certif.'!J5),0)</f>
        <v>0</v>
      </c>
      <c r="I443" s="58" t="str">
        <f>IF(H443&gt;0, MAX(I$1:I442)+1, "")</f>
        <v/>
      </c>
    </row>
    <row r="444" spans="1:9" x14ac:dyDescent="0.2">
      <c r="A444" t="s">
        <v>1444</v>
      </c>
      <c r="B444" t="str">
        <f>'PVC Gris Oscuro No Certif.'!A6</f>
        <v>Conducción Fluidos</v>
      </c>
      <c r="C444" t="str">
        <f>'PVC Gris Oscuro No Certif.'!B6</f>
        <v>TUBERÍA PLUVIAL EXT. GRIS OSCURO NO CERT.</v>
      </c>
      <c r="D444">
        <f>'PVC Gris Oscuro No Certif.'!F6</f>
        <v>13310</v>
      </c>
      <c r="E444" t="str">
        <f>'PVC Gris Oscuro No Certif.'!G6</f>
        <v>PVC GRIS OSC TUBO 6M PLUV EXT N.C. 110</v>
      </c>
      <c r="F444">
        <f>'PVC Gris Oscuro No Certif.'!H6</f>
        <v>1</v>
      </c>
      <c r="G444" t="str">
        <f>'PVC Gris Oscuro No Certif.'!I6</f>
        <v>Unitario</v>
      </c>
      <c r="H444">
        <f>IFERROR(IF('PVC Gris Oscuro No Certif.'!J6="",0,'PVC Gris Oscuro No Certif.'!J6),0)</f>
        <v>0</v>
      </c>
      <c r="I444" s="58" t="str">
        <f>IF(H444&gt;0, MAX(I$1:I443)+1, "")</f>
        <v/>
      </c>
    </row>
    <row r="445" spans="1:9" x14ac:dyDescent="0.2">
      <c r="A445" t="s">
        <v>1444</v>
      </c>
      <c r="B445" t="str">
        <f>'PVC Gris Oscuro No Certif.'!A7</f>
        <v>Conducción Fluidos</v>
      </c>
      <c r="C445" t="str">
        <f>'PVC Gris Oscuro No Certif.'!B7</f>
        <v>TUBERÍA PLUVIAL EXT. GRIS OSCURO NO CERT.</v>
      </c>
      <c r="D445">
        <f>'PVC Gris Oscuro No Certif.'!F7</f>
        <v>13405</v>
      </c>
      <c r="E445" t="str">
        <f>'PVC Gris Oscuro No Certif.'!G7</f>
        <v>PVC GRIS OS TUBO 3M PLUV EXT N.C. 40 *AP</v>
      </c>
      <c r="F445">
        <f>'PVC Gris Oscuro No Certif.'!H7</f>
        <v>1</v>
      </c>
      <c r="G445" t="str">
        <f>'PVC Gris Oscuro No Certif.'!I7</f>
        <v>Unitario</v>
      </c>
      <c r="H445">
        <f>IFERROR(IF('PVC Gris Oscuro No Certif.'!J7="",0,'PVC Gris Oscuro No Certif.'!J7),0)</f>
        <v>0</v>
      </c>
      <c r="I445" s="58" t="str">
        <f>IF(H445&gt;0, MAX(I$1:I444)+1, "")</f>
        <v/>
      </c>
    </row>
    <row r="446" spans="1:9" x14ac:dyDescent="0.2">
      <c r="A446" t="s">
        <v>1444</v>
      </c>
      <c r="B446" t="str">
        <f>'PVC Gris Oscuro No Certif.'!A8</f>
        <v>Conducción Fluidos</v>
      </c>
      <c r="C446" t="str">
        <f>'PVC Gris Oscuro No Certif.'!B8</f>
        <v>TUBERÍA PLUVIAL EXT. GRIS OSCURO NO CERT.</v>
      </c>
      <c r="D446">
        <f>'PVC Gris Oscuro No Certif.'!F8</f>
        <v>13406</v>
      </c>
      <c r="E446" t="str">
        <f>'PVC Gris Oscuro No Certif.'!G8</f>
        <v>PVC GRIS OS TUBO 3M PLUV EXT N.C. 50 *AP</v>
      </c>
      <c r="F446">
        <f>'PVC Gris Oscuro No Certif.'!H8</f>
        <v>1</v>
      </c>
      <c r="G446" t="str">
        <f>'PVC Gris Oscuro No Certif.'!I8</f>
        <v>Unitario</v>
      </c>
      <c r="H446">
        <f>IFERROR(IF('PVC Gris Oscuro No Certif.'!J8="",0,'PVC Gris Oscuro No Certif.'!J8),0)</f>
        <v>0</v>
      </c>
      <c r="I446" s="58" t="str">
        <f>IF(H446&gt;0, MAX(I$1:I445)+1, "")</f>
        <v/>
      </c>
    </row>
    <row r="447" spans="1:9" x14ac:dyDescent="0.2">
      <c r="A447" t="s">
        <v>1444</v>
      </c>
      <c r="B447" t="str">
        <f>'PVC Gris Oscuro No Certif.'!A9</f>
        <v>Conducción Fluidos</v>
      </c>
      <c r="C447" t="str">
        <f>'PVC Gris Oscuro No Certif.'!B9</f>
        <v>TUBERÍA PLUVIAL EXT. GRIS OSCURO NO CERT.</v>
      </c>
      <c r="D447">
        <f>'PVC Gris Oscuro No Certif.'!F9</f>
        <v>13408</v>
      </c>
      <c r="E447" t="str">
        <f>'PVC Gris Oscuro No Certif.'!G9</f>
        <v>PVC GRIS OS TUBO 3M PLUV EXT N.C. 75 *AP</v>
      </c>
      <c r="F447">
        <f>'PVC Gris Oscuro No Certif.'!H9</f>
        <v>1</v>
      </c>
      <c r="G447" t="str">
        <f>'PVC Gris Oscuro No Certif.'!I9</f>
        <v>Unitario</v>
      </c>
      <c r="H447">
        <f>IFERROR(IF('PVC Gris Oscuro No Certif.'!J9="",0,'PVC Gris Oscuro No Certif.'!J9),0)</f>
        <v>0</v>
      </c>
      <c r="I447" s="58" t="str">
        <f>IF(H447&gt;0, MAX(I$1:I446)+1, "")</f>
        <v/>
      </c>
    </row>
    <row r="448" spans="1:9" x14ac:dyDescent="0.2">
      <c r="A448" t="s">
        <v>1444</v>
      </c>
      <c r="B448" t="str">
        <f>'PVC Gris Oscuro No Certif.'!A10</f>
        <v>Conducción Fluidos</v>
      </c>
      <c r="C448" t="str">
        <f>'PVC Gris Oscuro No Certif.'!B10</f>
        <v>TUBERÍA PLUVIAL EXT. GRIS OSCURO NO CERT.</v>
      </c>
      <c r="D448">
        <f>'PVC Gris Oscuro No Certif.'!F10</f>
        <v>13410</v>
      </c>
      <c r="E448" t="str">
        <f>'PVC Gris Oscuro No Certif.'!G10</f>
        <v>PVC GRIS OS TUBO 3M PLUV EXT N.C. 110*AP</v>
      </c>
      <c r="F448">
        <f>'PVC Gris Oscuro No Certif.'!H10</f>
        <v>1</v>
      </c>
      <c r="G448" t="str">
        <f>'PVC Gris Oscuro No Certif.'!I10</f>
        <v>Unitario</v>
      </c>
      <c r="H448">
        <f>IFERROR(IF('PVC Gris Oscuro No Certif.'!J10="",0,'PVC Gris Oscuro No Certif.'!J10),0)</f>
        <v>0</v>
      </c>
      <c r="I448" s="58" t="str">
        <f>IF(H448&gt;0, MAX(I$1:I447)+1, "")</f>
        <v/>
      </c>
    </row>
    <row r="449" spans="1:9" x14ac:dyDescent="0.2">
      <c r="A449" t="s">
        <v>1444</v>
      </c>
      <c r="B449" t="str">
        <f>'PVC Gris Oscuro No Certif.'!A11</f>
        <v>Conducción Fluidos</v>
      </c>
      <c r="C449" t="str">
        <f>'PVC Gris Oscuro No Certif.'!B11</f>
        <v>TUBERÍA PLUVIAL EXT. GRIS OSCURO NO CERT.</v>
      </c>
      <c r="D449">
        <f>'PVC Gris Oscuro No Certif.'!F11</f>
        <v>13505</v>
      </c>
      <c r="E449" t="str">
        <f>'PVC Gris Oscuro No Certif.'!G11</f>
        <v>PVC GRIS OS TUBO 1M PLUV EXT N.C. 40 *AP</v>
      </c>
      <c r="F449">
        <f>'PVC Gris Oscuro No Certif.'!H11</f>
        <v>1</v>
      </c>
      <c r="G449" t="str">
        <f>'PVC Gris Oscuro No Certif.'!I11</f>
        <v>Unitario</v>
      </c>
      <c r="H449">
        <f>IFERROR(IF('PVC Gris Oscuro No Certif.'!J11="",0,'PVC Gris Oscuro No Certif.'!J11),0)</f>
        <v>0</v>
      </c>
      <c r="I449" s="58" t="str">
        <f>IF(H449&gt;0, MAX(I$1:I448)+1, "")</f>
        <v/>
      </c>
    </row>
    <row r="450" spans="1:9" x14ac:dyDescent="0.2">
      <c r="A450" t="s">
        <v>1444</v>
      </c>
      <c r="B450" t="str">
        <f>'PVC Gris Oscuro No Certif.'!A12</f>
        <v>Conducción Fluidos</v>
      </c>
      <c r="C450" t="str">
        <f>'PVC Gris Oscuro No Certif.'!B12</f>
        <v>TUBERÍA PLUVIAL EXT. GRIS OSCURO NO CERT.</v>
      </c>
      <c r="D450">
        <f>'PVC Gris Oscuro No Certif.'!F12</f>
        <v>13506</v>
      </c>
      <c r="E450" t="str">
        <f>'PVC Gris Oscuro No Certif.'!G12</f>
        <v>PVC GRIS OS TUBO 1M PLUV EXT N.C. 50 *AP</v>
      </c>
      <c r="F450">
        <f>'PVC Gris Oscuro No Certif.'!H12</f>
        <v>1</v>
      </c>
      <c r="G450" t="str">
        <f>'PVC Gris Oscuro No Certif.'!I12</f>
        <v>Unitario</v>
      </c>
      <c r="H450">
        <f>IFERROR(IF('PVC Gris Oscuro No Certif.'!J12="",0,'PVC Gris Oscuro No Certif.'!J12),0)</f>
        <v>0</v>
      </c>
      <c r="I450" s="58" t="str">
        <f>IF(H450&gt;0, MAX(I$1:I449)+1, "")</f>
        <v/>
      </c>
    </row>
    <row r="451" spans="1:9" x14ac:dyDescent="0.2">
      <c r="A451" t="s">
        <v>1444</v>
      </c>
      <c r="B451" t="str">
        <f>'PVC Gris Oscuro No Certif.'!A13</f>
        <v>Conducción Fluidos</v>
      </c>
      <c r="C451" t="str">
        <f>'PVC Gris Oscuro No Certif.'!B13</f>
        <v>TUBERÍA PLUVIAL EXT. GRIS OSCURO NO CERT.</v>
      </c>
      <c r="D451">
        <f>'PVC Gris Oscuro No Certif.'!F13</f>
        <v>13508</v>
      </c>
      <c r="E451" t="str">
        <f>'PVC Gris Oscuro No Certif.'!G13</f>
        <v>PVC GRIS OS TUBO 1M PLUV EXT N.C. 75 *AP</v>
      </c>
      <c r="F451">
        <f>'PVC Gris Oscuro No Certif.'!H13</f>
        <v>1</v>
      </c>
      <c r="G451" t="str">
        <f>'PVC Gris Oscuro No Certif.'!I13</f>
        <v>Unitario</v>
      </c>
      <c r="H451">
        <f>IFERROR(IF('PVC Gris Oscuro No Certif.'!J13="",0,'PVC Gris Oscuro No Certif.'!J13),0)</f>
        <v>0</v>
      </c>
      <c r="I451" s="58" t="str">
        <f>IF(H451&gt;0, MAX(I$1:I450)+1, "")</f>
        <v/>
      </c>
    </row>
    <row r="452" spans="1:9" x14ac:dyDescent="0.2">
      <c r="A452" t="s">
        <v>1444</v>
      </c>
      <c r="B452" t="str">
        <f>'PVC Gris Oscuro No Certif.'!A14</f>
        <v>Conducción Fluidos</v>
      </c>
      <c r="C452" t="str">
        <f>'PVC Gris Oscuro No Certif.'!B14</f>
        <v>TUBERÍA PLUVIAL EXT. GRIS OSCURO NO CERT.</v>
      </c>
      <c r="D452">
        <f>'PVC Gris Oscuro No Certif.'!F14</f>
        <v>13510</v>
      </c>
      <c r="E452" t="str">
        <f>'PVC Gris Oscuro No Certif.'!G14</f>
        <v>PVC GRIS OS TUBO 1M PLUV EX N.C. 110 *AP</v>
      </c>
      <c r="F452">
        <f>'PVC Gris Oscuro No Certif.'!H14</f>
        <v>1</v>
      </c>
      <c r="G452" t="str">
        <f>'PVC Gris Oscuro No Certif.'!I14</f>
        <v>Unitario</v>
      </c>
      <c r="H452">
        <f>IFERROR(IF('PVC Gris Oscuro No Certif.'!J14="",0,'PVC Gris Oscuro No Certif.'!J14),0)</f>
        <v>0</v>
      </c>
      <c r="I452" s="58" t="str">
        <f>IF(H452&gt;0, MAX(I$1:I451)+1, "")</f>
        <v/>
      </c>
    </row>
    <row r="453" spans="1:9" x14ac:dyDescent="0.2">
      <c r="A453" t="s">
        <v>24</v>
      </c>
      <c r="B453" t="str">
        <f>'PVC Colector'!A3</f>
        <v>Conducción Fluidos</v>
      </c>
      <c r="C453" t="str">
        <f>'PVC Colector'!B3</f>
        <v>TUBO COLECTOR SN2 HASTA SN8</v>
      </c>
      <c r="D453">
        <f>'PVC Colector'!F3</f>
        <v>99101</v>
      </c>
      <c r="E453" t="str">
        <f>'PVC Colector'!G3</f>
        <v>TUBO COLECTOR 200 X 6MTS SN2 *AP</v>
      </c>
      <c r="F453">
        <f>'PVC Colector'!H3</f>
        <v>1</v>
      </c>
      <c r="G453" t="str">
        <f>'PVC Colector'!I3</f>
        <v>Unitario</v>
      </c>
      <c r="H453">
        <f>IFERROR(IF('PVC Colector'!J3="",0,'PVC Colector'!J3),0)</f>
        <v>0</v>
      </c>
      <c r="I453" s="58" t="str">
        <f>IF(H453&gt;0, MAX(I$1:I452)+1, "")</f>
        <v/>
      </c>
    </row>
    <row r="454" spans="1:9" x14ac:dyDescent="0.2">
      <c r="A454" t="s">
        <v>24</v>
      </c>
      <c r="B454" t="str">
        <f>'PVC Colector'!A4</f>
        <v>Conducción Fluidos</v>
      </c>
      <c r="C454" t="str">
        <f>'PVC Colector'!B4</f>
        <v>TUBO COLECTOR SN2 HASTA SN8</v>
      </c>
      <c r="D454">
        <f>'PVC Colector'!F4</f>
        <v>99102</v>
      </c>
      <c r="E454" t="str">
        <f>'PVC Colector'!G4</f>
        <v>TUBO COLECTOR 250 X 6MTS SN2 *AP</v>
      </c>
      <c r="F454">
        <f>'PVC Colector'!H4</f>
        <v>1</v>
      </c>
      <c r="G454" t="str">
        <f>'PVC Colector'!I4</f>
        <v>Unitario</v>
      </c>
      <c r="H454">
        <f>IFERROR(IF('PVC Colector'!J4="",0,'PVC Colector'!J4),0)</f>
        <v>0</v>
      </c>
      <c r="I454" s="58" t="str">
        <f>IF(H454&gt;0, MAX(I$1:I453)+1, "")</f>
        <v/>
      </c>
    </row>
    <row r="455" spans="1:9" x14ac:dyDescent="0.2">
      <c r="A455" t="s">
        <v>24</v>
      </c>
      <c r="B455" t="str">
        <f>'PVC Colector'!A5</f>
        <v>Conducción Fluidos</v>
      </c>
      <c r="C455" t="str">
        <f>'PVC Colector'!B5</f>
        <v>TUBO COLECTOR SN2 HASTA SN8</v>
      </c>
      <c r="D455">
        <f>'PVC Colector'!F5</f>
        <v>99103</v>
      </c>
      <c r="E455" t="str">
        <f>'PVC Colector'!G5</f>
        <v>TUBO COLECTOR 160 X 6MTS SN4 *AP</v>
      </c>
      <c r="F455">
        <f>'PVC Colector'!H5</f>
        <v>1</v>
      </c>
      <c r="G455" t="str">
        <f>'PVC Colector'!I5</f>
        <v>Unitario</v>
      </c>
      <c r="H455">
        <f>IFERROR(IF('PVC Colector'!J5="",0,'PVC Colector'!J5),0)</f>
        <v>0</v>
      </c>
      <c r="I455" s="58" t="str">
        <f>IF(H455&gt;0, MAX(I$1:I454)+1, "")</f>
        <v/>
      </c>
    </row>
    <row r="456" spans="1:9" x14ac:dyDescent="0.2">
      <c r="A456" t="s">
        <v>24</v>
      </c>
      <c r="B456" t="str">
        <f>'PVC Colector'!A6</f>
        <v>Conducción Fluidos</v>
      </c>
      <c r="C456" t="str">
        <f>'PVC Colector'!B6</f>
        <v>TUBO COLECTOR SN2 HASTA SN8</v>
      </c>
      <c r="D456">
        <f>'PVC Colector'!F6</f>
        <v>99104</v>
      </c>
      <c r="E456" t="str">
        <f>'PVC Colector'!G6</f>
        <v>TUBO COLECTOR 200 X 6MTS SN4 *AP</v>
      </c>
      <c r="F456">
        <f>'PVC Colector'!H6</f>
        <v>1</v>
      </c>
      <c r="G456" t="str">
        <f>'PVC Colector'!I6</f>
        <v>Unitario</v>
      </c>
      <c r="H456">
        <f>IFERROR(IF('PVC Colector'!J6="",0,'PVC Colector'!J6),0)</f>
        <v>0</v>
      </c>
      <c r="I456" s="58" t="str">
        <f>IF(H456&gt;0, MAX(I$1:I455)+1, "")</f>
        <v/>
      </c>
    </row>
    <row r="457" spans="1:9" x14ac:dyDescent="0.2">
      <c r="A457" t="s">
        <v>24</v>
      </c>
      <c r="B457" t="str">
        <f>'PVC Colector'!A7</f>
        <v>Conducción Fluidos</v>
      </c>
      <c r="C457" t="str">
        <f>'PVC Colector'!B7</f>
        <v>TUBO COLECTOR SN2 HASTA SN8</v>
      </c>
      <c r="D457">
        <f>'PVC Colector'!F7</f>
        <v>99105</v>
      </c>
      <c r="E457" t="str">
        <f>'PVC Colector'!G7</f>
        <v>TUBO COLECTOR 250 X 6MTS SN4 *AP</v>
      </c>
      <c r="F457">
        <f>'PVC Colector'!H7</f>
        <v>1</v>
      </c>
      <c r="G457" t="str">
        <f>'PVC Colector'!I7</f>
        <v>Unitario</v>
      </c>
      <c r="H457">
        <f>IFERROR(IF('PVC Colector'!J7="",0,'PVC Colector'!J7),0)</f>
        <v>0</v>
      </c>
      <c r="I457" s="58" t="str">
        <f>IF(H457&gt;0, MAX(I$1:I456)+1, "")</f>
        <v/>
      </c>
    </row>
    <row r="458" spans="1:9" x14ac:dyDescent="0.2">
      <c r="A458" t="s">
        <v>24</v>
      </c>
      <c r="B458" t="str">
        <f>'PVC Colector'!A8</f>
        <v>Conducción Fluidos</v>
      </c>
      <c r="C458" t="str">
        <f>'PVC Colector'!B8</f>
        <v>TUBO COLECTOR SN2 HASTA SN8</v>
      </c>
      <c r="D458">
        <f>'PVC Colector'!F8</f>
        <v>99106</v>
      </c>
      <c r="E458" t="str">
        <f>'PVC Colector'!G8</f>
        <v>TUBO COLECTOR 110 X 6MTS SN8 *AP</v>
      </c>
      <c r="F458">
        <f>'PVC Colector'!H8</f>
        <v>1</v>
      </c>
      <c r="G458" t="str">
        <f>'PVC Colector'!I8</f>
        <v>Unitario</v>
      </c>
      <c r="H458">
        <f>IFERROR(IF('PVC Colector'!J8="",0,'PVC Colector'!J8),0)</f>
        <v>0</v>
      </c>
      <c r="I458" s="58" t="str">
        <f>IF(H458&gt;0, MAX(I$1:I457)+1, "")</f>
        <v/>
      </c>
    </row>
    <row r="459" spans="1:9" x14ac:dyDescent="0.2">
      <c r="A459" t="s">
        <v>24</v>
      </c>
      <c r="B459" t="str">
        <f>'PVC Colector'!A9</f>
        <v>Conducción Fluidos</v>
      </c>
      <c r="C459" t="str">
        <f>'PVC Colector'!B9</f>
        <v>TUBO COLECTOR SN2 HASTA SN8</v>
      </c>
      <c r="D459">
        <f>'PVC Colector'!F9</f>
        <v>99107</v>
      </c>
      <c r="E459" t="str">
        <f>'PVC Colector'!G9</f>
        <v>TUBO COLECTOR 160 X 6MTS SN8 *AP</v>
      </c>
      <c r="F459">
        <f>'PVC Colector'!H9</f>
        <v>1</v>
      </c>
      <c r="G459" t="str">
        <f>'PVC Colector'!I9</f>
        <v>Unitario</v>
      </c>
      <c r="H459">
        <f>IFERROR(IF('PVC Colector'!J9="",0,'PVC Colector'!J9),0)</f>
        <v>0</v>
      </c>
      <c r="I459" s="58" t="str">
        <f>IF(H459&gt;0, MAX(I$1:I458)+1, "")</f>
        <v/>
      </c>
    </row>
    <row r="460" spans="1:9" x14ac:dyDescent="0.2">
      <c r="A460" t="s">
        <v>24</v>
      </c>
      <c r="B460" t="str">
        <f>'PVC Colector'!A10</f>
        <v>Conducción Fluidos</v>
      </c>
      <c r="C460" t="str">
        <f>'PVC Colector'!B10</f>
        <v>TUBO COLECTOR SN2 HASTA SN8</v>
      </c>
      <c r="D460">
        <f>'PVC Colector'!F10</f>
        <v>99108</v>
      </c>
      <c r="E460" t="str">
        <f>'PVC Colector'!G10</f>
        <v>TUBO COLECTOR 200 X 6MTS SN8 *AP</v>
      </c>
      <c r="F460">
        <f>'PVC Colector'!H10</f>
        <v>1</v>
      </c>
      <c r="G460" t="str">
        <f>'PVC Colector'!I10</f>
        <v>Unitario</v>
      </c>
      <c r="H460">
        <f>IFERROR(IF('PVC Colector'!J10="",0,'PVC Colector'!J10),0)</f>
        <v>0</v>
      </c>
      <c r="I460" s="58" t="str">
        <f>IF(H460&gt;0, MAX(I$1:I459)+1, "")</f>
        <v/>
      </c>
    </row>
    <row r="461" spans="1:9" x14ac:dyDescent="0.2">
      <c r="A461" t="s">
        <v>24</v>
      </c>
      <c r="B461" t="str">
        <f>'PVC Colector'!A11</f>
        <v>Conducción Fluidos</v>
      </c>
      <c r="C461" t="str">
        <f>'PVC Colector'!B11</f>
        <v>TUBO COLECTOR SN2 HASTA SN8</v>
      </c>
      <c r="D461">
        <f>'PVC Colector'!F11</f>
        <v>99110</v>
      </c>
      <c r="E461" t="str">
        <f>'PVC Colector'!G11</f>
        <v>TUBO COLECTOR 250 X 6MTS SN8 *AP</v>
      </c>
      <c r="F461">
        <f>'PVC Colector'!H11</f>
        <v>1</v>
      </c>
      <c r="G461" t="str">
        <f>'PVC Colector'!I11</f>
        <v>Unitario</v>
      </c>
      <c r="H461">
        <f>IFERROR(IF('PVC Colector'!J11="",0,'PVC Colector'!J11),0)</f>
        <v>0</v>
      </c>
      <c r="I461" s="58" t="str">
        <f>IF(H461&gt;0, MAX(I$1:I460)+1, "")</f>
        <v/>
      </c>
    </row>
    <row r="462" spans="1:9" x14ac:dyDescent="0.2">
      <c r="A462" t="s">
        <v>1445</v>
      </c>
      <c r="B462" t="str">
        <f>'PVC Sanit Blanco'!A3</f>
        <v>Conducción Fluidos</v>
      </c>
      <c r="C462" t="str">
        <f>'PVC Sanit Blanco'!B3</f>
        <v>PVC SANITARIO BLANCO</v>
      </c>
      <c r="D462" t="str">
        <f>'PVC Sanit Blanco'!F3</f>
        <v>14005NN</v>
      </c>
      <c r="E462" t="str">
        <f>'PVC Sanit Blanco'!G3</f>
        <v>PVC SAN BLCO TUBO N.NORMA 6M 40 N</v>
      </c>
      <c r="F462">
        <f>'PVC Sanit Blanco'!H3</f>
        <v>1</v>
      </c>
      <c r="G462" t="str">
        <f>'PVC Sanit Blanco'!I3</f>
        <v>Unitario</v>
      </c>
      <c r="H462">
        <f>IFERROR(IF('PVC Sanit Blanco'!J3="",0,'PVC Sanit Blanco'!J3),0)</f>
        <v>0</v>
      </c>
      <c r="I462" s="58" t="str">
        <f>IF(H462&gt;0, MAX(I$1:I461)+1, "")</f>
        <v/>
      </c>
    </row>
    <row r="463" spans="1:9" x14ac:dyDescent="0.2">
      <c r="A463" t="s">
        <v>1445</v>
      </c>
      <c r="B463" t="str">
        <f>'PVC Sanit Blanco'!A4</f>
        <v>Conducción Fluidos</v>
      </c>
      <c r="C463" t="str">
        <f>'PVC Sanit Blanco'!B4</f>
        <v>PVC SANITARIO BLANCO</v>
      </c>
      <c r="D463" t="str">
        <f>'PVC Sanit Blanco'!F4</f>
        <v>14006NN</v>
      </c>
      <c r="E463" t="str">
        <f>'PVC Sanit Blanco'!G4</f>
        <v>PVC SAN BLCO TUBO N.NORMA 6M 50 N</v>
      </c>
      <c r="F463">
        <f>'PVC Sanit Blanco'!H4</f>
        <v>1</v>
      </c>
      <c r="G463" t="str">
        <f>'PVC Sanit Blanco'!I4</f>
        <v>Unitario</v>
      </c>
      <c r="H463">
        <f>IFERROR(IF('PVC Sanit Blanco'!J4="",0,'PVC Sanit Blanco'!J4),0)</f>
        <v>0</v>
      </c>
      <c r="I463" s="58" t="str">
        <f>IF(H463&gt;0, MAX(I$1:I462)+1, "")</f>
        <v/>
      </c>
    </row>
    <row r="464" spans="1:9" x14ac:dyDescent="0.2">
      <c r="A464" t="s">
        <v>1445</v>
      </c>
      <c r="B464" t="str">
        <f>'PVC Sanit Blanco'!A5</f>
        <v>Conducción Fluidos</v>
      </c>
      <c r="C464" t="str">
        <f>'PVC Sanit Blanco'!B5</f>
        <v>PVC SANITARIO BLANCO</v>
      </c>
      <c r="D464" t="str">
        <f>'PVC Sanit Blanco'!F5</f>
        <v>14008NN</v>
      </c>
      <c r="E464" t="str">
        <f>'PVC Sanit Blanco'!G5</f>
        <v>PVC SAN BLCO TUBO N.NORMA 6M 75 N</v>
      </c>
      <c r="F464">
        <f>'PVC Sanit Blanco'!H5</f>
        <v>1</v>
      </c>
      <c r="G464" t="str">
        <f>'PVC Sanit Blanco'!I5</f>
        <v>Unitario</v>
      </c>
      <c r="H464">
        <f>IFERROR(IF('PVC Sanit Blanco'!J5="",0,'PVC Sanit Blanco'!J5),0)</f>
        <v>0</v>
      </c>
      <c r="I464" s="58" t="str">
        <f>IF(H464&gt;0, MAX(I$1:I463)+1, "")</f>
        <v/>
      </c>
    </row>
    <row r="465" spans="1:9" x14ac:dyDescent="0.2">
      <c r="A465" t="s">
        <v>1445</v>
      </c>
      <c r="B465" t="str">
        <f>'PVC Sanit Blanco'!A6</f>
        <v>Conducción Fluidos</v>
      </c>
      <c r="C465" t="str">
        <f>'PVC Sanit Blanco'!B6</f>
        <v>PVC SANITARIO BLANCO</v>
      </c>
      <c r="D465" t="str">
        <f>'PVC Sanit Blanco'!F6</f>
        <v>14010NN</v>
      </c>
      <c r="E465" t="str">
        <f>'PVC Sanit Blanco'!G6</f>
        <v>PVC SAN BLCO TUBO N.NORMA 6M 110 N</v>
      </c>
      <c r="F465">
        <f>'PVC Sanit Blanco'!H6</f>
        <v>1</v>
      </c>
      <c r="G465" t="str">
        <f>'PVC Sanit Blanco'!I6</f>
        <v>Unitario</v>
      </c>
      <c r="H465">
        <f>IFERROR(IF('PVC Sanit Blanco'!J6="",0,'PVC Sanit Blanco'!J6),0)</f>
        <v>0</v>
      </c>
      <c r="I465" s="58" t="str">
        <f>IF(H465&gt;0, MAX(I$1:I464)+1, "")</f>
        <v/>
      </c>
    </row>
    <row r="466" spans="1:9" x14ac:dyDescent="0.2">
      <c r="A466" t="s">
        <v>1445</v>
      </c>
      <c r="B466" t="str">
        <f>'PVC Sanit Blanco'!A7</f>
        <v>Conducción Fluidos</v>
      </c>
      <c r="C466" t="str">
        <f>'PVC Sanit Blanco'!B7</f>
        <v>PVC SANITARIO BLANCO</v>
      </c>
      <c r="D466" t="str">
        <f>'PVC Sanit Blanco'!F7</f>
        <v>14016NN</v>
      </c>
      <c r="E466" t="str">
        <f>'PVC Sanit Blanco'!G7</f>
        <v>PVC SAN BLCO TUBO N.NORMA 6M 160 N</v>
      </c>
      <c r="F466">
        <f>'PVC Sanit Blanco'!H7</f>
        <v>1</v>
      </c>
      <c r="G466" t="str">
        <f>'PVC Sanit Blanco'!I7</f>
        <v>Unitario</v>
      </c>
      <c r="H466">
        <f>IFERROR(IF('PVC Sanit Blanco'!J7="",0,'PVC Sanit Blanco'!J7),0)</f>
        <v>0</v>
      </c>
      <c r="I466" s="58" t="str">
        <f>IF(H466&gt;0, MAX(I$1:I465)+1, "")</f>
        <v/>
      </c>
    </row>
    <row r="467" spans="1:9" x14ac:dyDescent="0.2">
      <c r="A467" t="s">
        <v>1445</v>
      </c>
      <c r="B467" t="str">
        <f>'PVC Sanit Blanco'!A8</f>
        <v>Conducción Fluidos</v>
      </c>
      <c r="C467" t="str">
        <f>'PVC Sanit Blanco'!B8</f>
        <v>PVC SANITARIO BLANCO</v>
      </c>
      <c r="D467">
        <f>'PVC Sanit Blanco'!F8</f>
        <v>342205</v>
      </c>
      <c r="E467" t="str">
        <f>'PVC Sanit Blanco'!G8</f>
        <v>PVC SAN BLCO FT CODO 45° 40 I</v>
      </c>
      <c r="F467">
        <f>'PVC Sanit Blanco'!H8</f>
        <v>1</v>
      </c>
      <c r="G467" t="str">
        <f>'PVC Sanit Blanco'!I8</f>
        <v>Unitario</v>
      </c>
      <c r="H467">
        <f>IFERROR(IF('PVC Sanit Blanco'!J8="",0,'PVC Sanit Blanco'!J8),0)</f>
        <v>0</v>
      </c>
      <c r="I467" s="58" t="str">
        <f>IF(H467&gt;0, MAX(I$1:I466)+1, "")</f>
        <v/>
      </c>
    </row>
    <row r="468" spans="1:9" x14ac:dyDescent="0.2">
      <c r="A468" t="s">
        <v>1445</v>
      </c>
      <c r="B468" t="str">
        <f>'PVC Sanit Blanco'!A9</f>
        <v>Conducción Fluidos</v>
      </c>
      <c r="C468" t="str">
        <f>'PVC Sanit Blanco'!B9</f>
        <v>PVC SANITARIO BLANCO</v>
      </c>
      <c r="D468">
        <f>'PVC Sanit Blanco'!F9</f>
        <v>342206</v>
      </c>
      <c r="E468" t="str">
        <f>'PVC Sanit Blanco'!G9</f>
        <v>PVC SAN BLCO FT CODO 45° 50 I</v>
      </c>
      <c r="F468">
        <f>'PVC Sanit Blanco'!H9</f>
        <v>1</v>
      </c>
      <c r="G468" t="str">
        <f>'PVC Sanit Blanco'!I9</f>
        <v>Unitario</v>
      </c>
      <c r="H468">
        <f>IFERROR(IF('PVC Sanit Blanco'!J9="",0,'PVC Sanit Blanco'!J9),0)</f>
        <v>0</v>
      </c>
      <c r="I468" s="58" t="str">
        <f>IF(H468&gt;0, MAX(I$1:I467)+1, "")</f>
        <v/>
      </c>
    </row>
    <row r="469" spans="1:9" x14ac:dyDescent="0.2">
      <c r="A469" t="s">
        <v>1445</v>
      </c>
      <c r="B469" t="str">
        <f>'PVC Sanit Blanco'!A10</f>
        <v>Conducción Fluidos</v>
      </c>
      <c r="C469" t="str">
        <f>'PVC Sanit Blanco'!B10</f>
        <v>PVC SANITARIO BLANCO</v>
      </c>
      <c r="D469">
        <f>'PVC Sanit Blanco'!F10</f>
        <v>342208</v>
      </c>
      <c r="E469" t="str">
        <f>'PVC Sanit Blanco'!G10</f>
        <v>PVC SAN BLCO FT CODO 45° 75 I</v>
      </c>
      <c r="F469">
        <f>'PVC Sanit Blanco'!H10</f>
        <v>1</v>
      </c>
      <c r="G469" t="str">
        <f>'PVC Sanit Blanco'!I10</f>
        <v>Unitario</v>
      </c>
      <c r="H469">
        <f>IFERROR(IF('PVC Sanit Blanco'!J10="",0,'PVC Sanit Blanco'!J10),0)</f>
        <v>0</v>
      </c>
      <c r="I469" s="58" t="str">
        <f>IF(H469&gt;0, MAX(I$1:I468)+1, "")</f>
        <v/>
      </c>
    </row>
    <row r="470" spans="1:9" x14ac:dyDescent="0.2">
      <c r="A470" t="s">
        <v>1445</v>
      </c>
      <c r="B470" t="str">
        <f>'PVC Sanit Blanco'!A11</f>
        <v>Conducción Fluidos</v>
      </c>
      <c r="C470" t="str">
        <f>'PVC Sanit Blanco'!B11</f>
        <v>PVC SANITARIO BLANCO</v>
      </c>
      <c r="D470">
        <f>'PVC Sanit Blanco'!F11</f>
        <v>342210</v>
      </c>
      <c r="E470" t="str">
        <f>'PVC Sanit Blanco'!G11</f>
        <v>PVC SAN BLCO FT CODO 45° 110 I</v>
      </c>
      <c r="F470">
        <f>'PVC Sanit Blanco'!H11</f>
        <v>1</v>
      </c>
      <c r="G470" t="str">
        <f>'PVC Sanit Blanco'!I11</f>
        <v>Unitario</v>
      </c>
      <c r="H470">
        <f>IFERROR(IF('PVC Sanit Blanco'!J11="",0,'PVC Sanit Blanco'!J11),0)</f>
        <v>0</v>
      </c>
      <c r="I470" s="58" t="str">
        <f>IF(H470&gt;0, MAX(I$1:I469)+1, "")</f>
        <v/>
      </c>
    </row>
    <row r="471" spans="1:9" x14ac:dyDescent="0.2">
      <c r="A471" t="s">
        <v>1445</v>
      </c>
      <c r="B471" t="str">
        <f>'PVC Sanit Blanco'!A12</f>
        <v>Conducción Fluidos</v>
      </c>
      <c r="C471" t="str">
        <f>'PVC Sanit Blanco'!B12</f>
        <v>PVC SANITARIO BLANCO</v>
      </c>
      <c r="D471">
        <f>'PVC Sanit Blanco'!F12</f>
        <v>342216</v>
      </c>
      <c r="E471" t="str">
        <f>'PVC Sanit Blanco'!G12</f>
        <v>PVC SAN BLCO FT CODO 45° 160 I</v>
      </c>
      <c r="F471">
        <f>'PVC Sanit Blanco'!H12</f>
        <v>1</v>
      </c>
      <c r="G471" t="str">
        <f>'PVC Sanit Blanco'!I12</f>
        <v>Unitario</v>
      </c>
      <c r="H471">
        <f>IFERROR(IF('PVC Sanit Blanco'!J12="",0,'PVC Sanit Blanco'!J12),0)</f>
        <v>0</v>
      </c>
      <c r="I471" s="58" t="str">
        <f>IF(H471&gt;0, MAX(I$1:I470)+1, "")</f>
        <v/>
      </c>
    </row>
    <row r="472" spans="1:9" x14ac:dyDescent="0.2">
      <c r="A472" t="s">
        <v>1445</v>
      </c>
      <c r="B472" t="str">
        <f>'PVC Sanit Blanco'!A13</f>
        <v>Conducción Fluidos</v>
      </c>
      <c r="C472" t="str">
        <f>'PVC Sanit Blanco'!B13</f>
        <v>PVC SANITARIO BLANCO</v>
      </c>
      <c r="D472">
        <f>'PVC Sanit Blanco'!F13</f>
        <v>342105</v>
      </c>
      <c r="E472" t="str">
        <f>'PVC Sanit Blanco'!G13</f>
        <v>PVC SAN BLCO FT CODO 87,5° 40 I</v>
      </c>
      <c r="F472">
        <f>'PVC Sanit Blanco'!H13</f>
        <v>1</v>
      </c>
      <c r="G472" t="str">
        <f>'PVC Sanit Blanco'!I13</f>
        <v>Unitario</v>
      </c>
      <c r="H472">
        <f>IFERROR(IF('PVC Sanit Blanco'!J13="",0,'PVC Sanit Blanco'!J13),0)</f>
        <v>0</v>
      </c>
      <c r="I472" s="58" t="str">
        <f>IF(H472&gt;0, MAX(I$1:I471)+1, "")</f>
        <v/>
      </c>
    </row>
    <row r="473" spans="1:9" x14ac:dyDescent="0.2">
      <c r="A473" t="s">
        <v>1445</v>
      </c>
      <c r="B473" t="str">
        <f>'PVC Sanit Blanco'!A14</f>
        <v>Conducción Fluidos</v>
      </c>
      <c r="C473" t="str">
        <f>'PVC Sanit Blanco'!B14</f>
        <v>PVC SANITARIO BLANCO</v>
      </c>
      <c r="D473">
        <f>'PVC Sanit Blanco'!F14</f>
        <v>342106</v>
      </c>
      <c r="E473" t="str">
        <f>'PVC Sanit Blanco'!G14</f>
        <v>PVC SAN BLCO FT CODO 87,5° 50 I</v>
      </c>
      <c r="F473">
        <f>'PVC Sanit Blanco'!H14</f>
        <v>1</v>
      </c>
      <c r="G473" t="str">
        <f>'PVC Sanit Blanco'!I14</f>
        <v>Unitario</v>
      </c>
      <c r="H473">
        <f>IFERROR(IF('PVC Sanit Blanco'!J14="",0,'PVC Sanit Blanco'!J14),0)</f>
        <v>0</v>
      </c>
      <c r="I473" s="58" t="str">
        <f>IF(H473&gt;0, MAX(I$1:I472)+1, "")</f>
        <v/>
      </c>
    </row>
    <row r="474" spans="1:9" x14ac:dyDescent="0.2">
      <c r="A474" t="s">
        <v>1445</v>
      </c>
      <c r="B474" t="str">
        <f>'PVC Sanit Blanco'!A15</f>
        <v>Conducción Fluidos</v>
      </c>
      <c r="C474" t="str">
        <f>'PVC Sanit Blanco'!B15</f>
        <v>PVC SANITARIO BLANCO</v>
      </c>
      <c r="D474">
        <f>'PVC Sanit Blanco'!F15</f>
        <v>342108</v>
      </c>
      <c r="E474" t="str">
        <f>'PVC Sanit Blanco'!G15</f>
        <v>PVC SAN BLCO FT CODO 87,5° 75 I</v>
      </c>
      <c r="F474">
        <f>'PVC Sanit Blanco'!H15</f>
        <v>1</v>
      </c>
      <c r="G474" t="str">
        <f>'PVC Sanit Blanco'!I15</f>
        <v>Unitario</v>
      </c>
      <c r="H474">
        <f>IFERROR(IF('PVC Sanit Blanco'!J15="",0,'PVC Sanit Blanco'!J15),0)</f>
        <v>0</v>
      </c>
      <c r="I474" s="58" t="str">
        <f>IF(H474&gt;0, MAX(I$1:I473)+1, "")</f>
        <v/>
      </c>
    </row>
    <row r="475" spans="1:9" x14ac:dyDescent="0.2">
      <c r="A475" t="s">
        <v>1445</v>
      </c>
      <c r="B475" t="str">
        <f>'PVC Sanit Blanco'!A16</f>
        <v>Conducción Fluidos</v>
      </c>
      <c r="C475" t="str">
        <f>'PVC Sanit Blanco'!B16</f>
        <v>PVC SANITARIO BLANCO</v>
      </c>
      <c r="D475">
        <f>'PVC Sanit Blanco'!F16</f>
        <v>342110</v>
      </c>
      <c r="E475" t="str">
        <f>'PVC Sanit Blanco'!G16</f>
        <v>PVC SAN BLCO FT CODO 87,5° 110 I</v>
      </c>
      <c r="F475">
        <f>'PVC Sanit Blanco'!H16</f>
        <v>1</v>
      </c>
      <c r="G475" t="str">
        <f>'PVC Sanit Blanco'!I16</f>
        <v>Unitario</v>
      </c>
      <c r="H475">
        <f>IFERROR(IF('PVC Sanit Blanco'!J16="",0,'PVC Sanit Blanco'!J16),0)</f>
        <v>0</v>
      </c>
      <c r="I475" s="58" t="str">
        <f>IF(H475&gt;0, MAX(I$1:I474)+1, "")</f>
        <v/>
      </c>
    </row>
    <row r="476" spans="1:9" x14ac:dyDescent="0.2">
      <c r="A476" t="s">
        <v>1445</v>
      </c>
      <c r="B476" t="str">
        <f>'PVC Sanit Blanco'!A17</f>
        <v>Conducción Fluidos</v>
      </c>
      <c r="C476" t="str">
        <f>'PVC Sanit Blanco'!B17</f>
        <v>PVC SANITARIO BLANCO</v>
      </c>
      <c r="D476">
        <f>'PVC Sanit Blanco'!F17</f>
        <v>342116</v>
      </c>
      <c r="E476" t="str">
        <f>'PVC Sanit Blanco'!G17</f>
        <v>PVC SAN BLCO FT CODO 87,5° 160 I</v>
      </c>
      <c r="F476">
        <f>'PVC Sanit Blanco'!H17</f>
        <v>1</v>
      </c>
      <c r="G476" t="str">
        <f>'PVC Sanit Blanco'!I17</f>
        <v>Unitario</v>
      </c>
      <c r="H476">
        <f>IFERROR(IF('PVC Sanit Blanco'!J17="",0,'PVC Sanit Blanco'!J17),0)</f>
        <v>0</v>
      </c>
      <c r="I476" s="58" t="str">
        <f>IF(H476&gt;0, MAX(I$1:I475)+1, "")</f>
        <v/>
      </c>
    </row>
    <row r="477" spans="1:9" x14ac:dyDescent="0.2">
      <c r="A477" t="s">
        <v>1445</v>
      </c>
      <c r="B477" t="str">
        <f>'PVC Sanit Blanco'!A18</f>
        <v>Conducción Fluidos</v>
      </c>
      <c r="C477" t="str">
        <f>'PVC Sanit Blanco'!B18</f>
        <v>PVC SANITARIO BLANCO</v>
      </c>
      <c r="D477">
        <f>'PVC Sanit Blanco'!F18</f>
        <v>342910</v>
      </c>
      <c r="E477" t="str">
        <f>'PVC Sanit Blanco'!G18</f>
        <v>PVC SAN BLCO FT CODO REG 110 I</v>
      </c>
      <c r="F477">
        <f>'PVC Sanit Blanco'!H18</f>
        <v>1</v>
      </c>
      <c r="G477" t="str">
        <f>'PVC Sanit Blanco'!I18</f>
        <v>Unitario</v>
      </c>
      <c r="H477">
        <f>IFERROR(IF('PVC Sanit Blanco'!J18="",0,'PVC Sanit Blanco'!J18),0)</f>
        <v>0</v>
      </c>
      <c r="I477" s="58" t="str">
        <f>IF(H477&gt;0, MAX(I$1:I476)+1, "")</f>
        <v/>
      </c>
    </row>
    <row r="478" spans="1:9" x14ac:dyDescent="0.2">
      <c r="A478" t="s">
        <v>1445</v>
      </c>
      <c r="B478" t="str">
        <f>'PVC Sanit Blanco'!A19</f>
        <v>Conducción Fluidos</v>
      </c>
      <c r="C478" t="str">
        <f>'PVC Sanit Blanco'!B19</f>
        <v>PVC SANITARIO BLANCO</v>
      </c>
      <c r="D478">
        <f>'PVC Sanit Blanco'!F19</f>
        <v>342911</v>
      </c>
      <c r="E478" t="str">
        <f>'PVC Sanit Blanco'!G19</f>
        <v>PVC SAN BLCO CODO REGIST DOBLE ORING 110</v>
      </c>
      <c r="F478">
        <f>'PVC Sanit Blanco'!H19</f>
        <v>1</v>
      </c>
      <c r="G478" t="str">
        <f>'PVC Sanit Blanco'!I19</f>
        <v>Unitario</v>
      </c>
      <c r="H478">
        <f>IFERROR(IF('PVC Sanit Blanco'!J19="",0,'PVC Sanit Blanco'!J19),0)</f>
        <v>0</v>
      </c>
      <c r="I478" s="58" t="str">
        <f>IF(H478&gt;0, MAX(I$1:I477)+1, "")</f>
        <v/>
      </c>
    </row>
    <row r="479" spans="1:9" x14ac:dyDescent="0.2">
      <c r="A479" t="s">
        <v>1445</v>
      </c>
      <c r="B479" t="str">
        <f>'PVC Sanit Blanco'!A20</f>
        <v>Conducción Fluidos</v>
      </c>
      <c r="C479" t="str">
        <f>'PVC Sanit Blanco'!B20</f>
        <v>PVC SANITARIO BLANCO</v>
      </c>
      <c r="D479">
        <f>'PVC Sanit Blanco'!F20</f>
        <v>342916</v>
      </c>
      <c r="E479" t="str">
        <f>'PVC Sanit Blanco'!G20</f>
        <v>PVC SAN BLCO CODO REGIST DOBLE ORING 160</v>
      </c>
      <c r="F479">
        <f>'PVC Sanit Blanco'!H20</f>
        <v>1</v>
      </c>
      <c r="G479" t="str">
        <f>'PVC Sanit Blanco'!I20</f>
        <v>Unitario</v>
      </c>
      <c r="H479">
        <f>IFERROR(IF('PVC Sanit Blanco'!J20="",0,'PVC Sanit Blanco'!J20),0)</f>
        <v>0</v>
      </c>
      <c r="I479" s="58" t="str">
        <f>IF(H479&gt;0, MAX(I$1:I478)+1, "")</f>
        <v/>
      </c>
    </row>
    <row r="480" spans="1:9" x14ac:dyDescent="0.2">
      <c r="A480" t="s">
        <v>1445</v>
      </c>
      <c r="B480" t="str">
        <f>'PVC Sanit Blanco'!A21</f>
        <v>Conducción Fluidos</v>
      </c>
      <c r="C480" t="str">
        <f>'PVC Sanit Blanco'!B21</f>
        <v>PVC SANITARIO BLANCO</v>
      </c>
      <c r="D480">
        <f>'PVC Sanit Blanco'!F21</f>
        <v>42405</v>
      </c>
      <c r="E480" t="str">
        <f>'PVC Sanit Blanco'!G21</f>
        <v>PVC SAN BLCO FT COPLA 40 N</v>
      </c>
      <c r="F480">
        <f>'PVC Sanit Blanco'!H21</f>
        <v>1</v>
      </c>
      <c r="G480" t="str">
        <f>'PVC Sanit Blanco'!I21</f>
        <v>Unitario</v>
      </c>
      <c r="H480">
        <f>IFERROR(IF('PVC Sanit Blanco'!J21="",0,'PVC Sanit Blanco'!J21),0)</f>
        <v>0</v>
      </c>
      <c r="I480" s="58" t="str">
        <f>IF(H480&gt;0, MAX(I$1:I479)+1, "")</f>
        <v/>
      </c>
    </row>
    <row r="481" spans="1:9" x14ac:dyDescent="0.2">
      <c r="A481" t="s">
        <v>1445</v>
      </c>
      <c r="B481" t="str">
        <f>'PVC Sanit Blanco'!A22</f>
        <v>Conducción Fluidos</v>
      </c>
      <c r="C481" t="str">
        <f>'PVC Sanit Blanco'!B22</f>
        <v>PVC SANITARIO BLANCO</v>
      </c>
      <c r="D481">
        <f>'PVC Sanit Blanco'!F22</f>
        <v>342406</v>
      </c>
      <c r="E481" t="str">
        <f>'PVC Sanit Blanco'!G22</f>
        <v>PVC SAN BLCO FT COPLA 50 I</v>
      </c>
      <c r="F481">
        <f>'PVC Sanit Blanco'!H22</f>
        <v>1</v>
      </c>
      <c r="G481" t="str">
        <f>'PVC Sanit Blanco'!I22</f>
        <v>Unitario</v>
      </c>
      <c r="H481">
        <f>IFERROR(IF('PVC Sanit Blanco'!J22="",0,'PVC Sanit Blanco'!J22),0)</f>
        <v>0</v>
      </c>
      <c r="I481" s="58" t="str">
        <f>IF(H481&gt;0, MAX(I$1:I480)+1, "")</f>
        <v/>
      </c>
    </row>
    <row r="482" spans="1:9" x14ac:dyDescent="0.2">
      <c r="A482" t="s">
        <v>1445</v>
      </c>
      <c r="B482" t="str">
        <f>'PVC Sanit Blanco'!A23</f>
        <v>Conducción Fluidos</v>
      </c>
      <c r="C482" t="str">
        <f>'PVC Sanit Blanco'!B23</f>
        <v>PVC SANITARIO BLANCO</v>
      </c>
      <c r="D482">
        <f>'PVC Sanit Blanco'!F23</f>
        <v>342408</v>
      </c>
      <c r="E482" t="str">
        <f>'PVC Sanit Blanco'!G23</f>
        <v>PVC SAN BLCO FT COPLA 75 I</v>
      </c>
      <c r="F482">
        <f>'PVC Sanit Blanco'!H23</f>
        <v>1</v>
      </c>
      <c r="G482" t="str">
        <f>'PVC Sanit Blanco'!I23</f>
        <v>Unitario</v>
      </c>
      <c r="H482">
        <f>IFERROR(IF('PVC Sanit Blanco'!J23="",0,'PVC Sanit Blanco'!J23),0)</f>
        <v>0</v>
      </c>
      <c r="I482" s="58" t="str">
        <f>IF(H482&gt;0, MAX(I$1:I481)+1, "")</f>
        <v/>
      </c>
    </row>
    <row r="483" spans="1:9" x14ac:dyDescent="0.2">
      <c r="A483" t="s">
        <v>1445</v>
      </c>
      <c r="B483" t="str">
        <f>'PVC Sanit Blanco'!A24</f>
        <v>Conducción Fluidos</v>
      </c>
      <c r="C483" t="str">
        <f>'PVC Sanit Blanco'!B24</f>
        <v>PVC SANITARIO BLANCO</v>
      </c>
      <c r="D483">
        <f>'PVC Sanit Blanco'!F24</f>
        <v>342410</v>
      </c>
      <c r="E483" t="str">
        <f>'PVC Sanit Blanco'!G24</f>
        <v>PVC SAN BLCO FT COPLA 110 I</v>
      </c>
      <c r="F483">
        <f>'PVC Sanit Blanco'!H24</f>
        <v>1</v>
      </c>
      <c r="G483" t="str">
        <f>'PVC Sanit Blanco'!I24</f>
        <v>Unitario</v>
      </c>
      <c r="H483">
        <f>IFERROR(IF('PVC Sanit Blanco'!J24="",0,'PVC Sanit Blanco'!J24),0)</f>
        <v>0</v>
      </c>
      <c r="I483" s="58" t="str">
        <f>IF(H483&gt;0, MAX(I$1:I482)+1, "")</f>
        <v/>
      </c>
    </row>
    <row r="484" spans="1:9" x14ac:dyDescent="0.2">
      <c r="A484" t="s">
        <v>1445</v>
      </c>
      <c r="B484" t="str">
        <f>'PVC Sanit Blanco'!A25</f>
        <v>Conducción Fluidos</v>
      </c>
      <c r="C484" t="str">
        <f>'PVC Sanit Blanco'!B25</f>
        <v>PVC SANITARIO BLANCO</v>
      </c>
      <c r="D484">
        <f>'PVC Sanit Blanco'!F25</f>
        <v>342416</v>
      </c>
      <c r="E484" t="str">
        <f>'PVC Sanit Blanco'!G25</f>
        <v>PVC SAN BLCO FT COPLA 160 I</v>
      </c>
      <c r="F484">
        <f>'PVC Sanit Blanco'!H25</f>
        <v>1</v>
      </c>
      <c r="G484" t="str">
        <f>'PVC Sanit Blanco'!I25</f>
        <v>Unitario</v>
      </c>
      <c r="H484">
        <f>IFERROR(IF('PVC Sanit Blanco'!J25="",0,'PVC Sanit Blanco'!J25),0)</f>
        <v>0</v>
      </c>
      <c r="I484" s="58" t="str">
        <f>IF(H484&gt;0, MAX(I$1:I483)+1, "")</f>
        <v/>
      </c>
    </row>
    <row r="485" spans="1:9" x14ac:dyDescent="0.2">
      <c r="A485" t="s">
        <v>1445</v>
      </c>
      <c r="B485" t="str">
        <f>'PVC Sanit Blanco'!A26</f>
        <v>Conducción Fluidos</v>
      </c>
      <c r="C485" t="str">
        <f>'PVC Sanit Blanco'!B26</f>
        <v>PVC SANITARIO BLANCO</v>
      </c>
      <c r="D485">
        <f>'PVC Sanit Blanco'!F26</f>
        <v>42810</v>
      </c>
      <c r="E485" t="str">
        <f>'PVC Sanit Blanco'!G26</f>
        <v>PVC SAN BLCO FT COPLA REP 110 N</v>
      </c>
      <c r="F485">
        <f>'PVC Sanit Blanco'!H26</f>
        <v>1</v>
      </c>
      <c r="G485" t="str">
        <f>'PVC Sanit Blanco'!I26</f>
        <v>Unitario</v>
      </c>
      <c r="H485">
        <f>IFERROR(IF('PVC Sanit Blanco'!J26="",0,'PVC Sanit Blanco'!J26),0)</f>
        <v>0</v>
      </c>
      <c r="I485" s="58" t="str">
        <f>IF(H485&gt;0, MAX(I$1:I484)+1, "")</f>
        <v/>
      </c>
    </row>
    <row r="486" spans="1:9" x14ac:dyDescent="0.2">
      <c r="A486" t="s">
        <v>1445</v>
      </c>
      <c r="B486" t="str">
        <f>'PVC Sanit Blanco'!A27</f>
        <v>Conducción Fluidos</v>
      </c>
      <c r="C486" t="str">
        <f>'PVC Sanit Blanco'!B27</f>
        <v>PVC SANITARIO BLANCO</v>
      </c>
      <c r="D486">
        <f>'PVC Sanit Blanco'!F27</f>
        <v>42816</v>
      </c>
      <c r="E486" t="str">
        <f>'PVC Sanit Blanco'!G27</f>
        <v>PVC SAN BLCO FT COPLA REP 160 N</v>
      </c>
      <c r="F486">
        <f>'PVC Sanit Blanco'!H27</f>
        <v>1</v>
      </c>
      <c r="G486" t="str">
        <f>'PVC Sanit Blanco'!I27</f>
        <v>Unitario</v>
      </c>
      <c r="H486">
        <f>IFERROR(IF('PVC Sanit Blanco'!J27="",0,'PVC Sanit Blanco'!J27),0)</f>
        <v>0</v>
      </c>
      <c r="I486" s="58" t="str">
        <f>IF(H486&gt;0, MAX(I$1:I485)+1, "")</f>
        <v/>
      </c>
    </row>
    <row r="487" spans="1:9" x14ac:dyDescent="0.2">
      <c r="A487" t="s">
        <v>1445</v>
      </c>
      <c r="B487" t="str">
        <f>'PVC Sanit Blanco'!A28</f>
        <v>Conducción Fluidos</v>
      </c>
      <c r="C487" t="str">
        <f>'PVC Sanit Blanco'!B28</f>
        <v>PVC SANITARIO BLANCO</v>
      </c>
      <c r="D487">
        <f>'PVC Sanit Blanco'!F28</f>
        <v>42305</v>
      </c>
      <c r="E487" t="str">
        <f>'PVC Sanit Blanco'!G28</f>
        <v>PVC SAN BLCO FT TEE 40 40 N</v>
      </c>
      <c r="F487">
        <f>'PVC Sanit Blanco'!H28</f>
        <v>1</v>
      </c>
      <c r="G487" t="str">
        <f>'PVC Sanit Blanco'!I28</f>
        <v>Unitario</v>
      </c>
      <c r="H487">
        <f>IFERROR(IF('PVC Sanit Blanco'!J28="",0,'PVC Sanit Blanco'!J28),0)</f>
        <v>0</v>
      </c>
      <c r="I487" s="58" t="str">
        <f>IF(H487&gt;0, MAX(I$1:I486)+1, "")</f>
        <v/>
      </c>
    </row>
    <row r="488" spans="1:9" x14ac:dyDescent="0.2">
      <c r="A488" t="s">
        <v>1445</v>
      </c>
      <c r="B488" t="str">
        <f>'PVC Sanit Blanco'!A29</f>
        <v>Conducción Fluidos</v>
      </c>
      <c r="C488" t="str">
        <f>'PVC Sanit Blanco'!B29</f>
        <v>PVC SANITARIO BLANCO</v>
      </c>
      <c r="D488">
        <f>'PVC Sanit Blanco'!F29</f>
        <v>342306</v>
      </c>
      <c r="E488" t="str">
        <f>'PVC Sanit Blanco'!G29</f>
        <v>PVC SAN BLCO FT TEE 50 50 I</v>
      </c>
      <c r="F488">
        <f>'PVC Sanit Blanco'!H29</f>
        <v>1</v>
      </c>
      <c r="G488" t="str">
        <f>'PVC Sanit Blanco'!I29</f>
        <v>Unitario</v>
      </c>
      <c r="H488">
        <f>IFERROR(IF('PVC Sanit Blanco'!J29="",0,'PVC Sanit Blanco'!J29),0)</f>
        <v>0</v>
      </c>
      <c r="I488" s="58" t="str">
        <f>IF(H488&gt;0, MAX(I$1:I487)+1, "")</f>
        <v/>
      </c>
    </row>
    <row r="489" spans="1:9" x14ac:dyDescent="0.2">
      <c r="A489" t="s">
        <v>1445</v>
      </c>
      <c r="B489" t="str">
        <f>'PVC Sanit Blanco'!A30</f>
        <v>Conducción Fluidos</v>
      </c>
      <c r="C489" t="str">
        <f>'PVC Sanit Blanco'!B30</f>
        <v>PVC SANITARIO BLANCO</v>
      </c>
      <c r="D489">
        <f>'PVC Sanit Blanco'!F30</f>
        <v>342308</v>
      </c>
      <c r="E489" t="str">
        <f>'PVC Sanit Blanco'!G30</f>
        <v>PVC SAN BLCO FT TEE 75 75 I</v>
      </c>
      <c r="F489">
        <f>'PVC Sanit Blanco'!H30</f>
        <v>1</v>
      </c>
      <c r="G489" t="str">
        <f>'PVC Sanit Blanco'!I30</f>
        <v>Unitario</v>
      </c>
      <c r="H489">
        <f>IFERROR(IF('PVC Sanit Blanco'!J30="",0,'PVC Sanit Blanco'!J30),0)</f>
        <v>0</v>
      </c>
      <c r="I489" s="58" t="str">
        <f>IF(H489&gt;0, MAX(I$1:I488)+1, "")</f>
        <v/>
      </c>
    </row>
    <row r="490" spans="1:9" x14ac:dyDescent="0.2">
      <c r="A490" t="s">
        <v>1445</v>
      </c>
      <c r="B490" t="str">
        <f>'PVC Sanit Blanco'!A31</f>
        <v>Conducción Fluidos</v>
      </c>
      <c r="C490" t="str">
        <f>'PVC Sanit Blanco'!B31</f>
        <v>PVC SANITARIO BLANCO</v>
      </c>
      <c r="D490">
        <f>'PVC Sanit Blanco'!F31</f>
        <v>342310</v>
      </c>
      <c r="E490" t="str">
        <f>'PVC Sanit Blanco'!G31</f>
        <v>PVC SAN BLCO FT TEE 110 110 I</v>
      </c>
      <c r="F490">
        <f>'PVC Sanit Blanco'!H31</f>
        <v>1</v>
      </c>
      <c r="G490" t="str">
        <f>'PVC Sanit Blanco'!I31</f>
        <v>Unitario</v>
      </c>
      <c r="H490">
        <f>IFERROR(IF('PVC Sanit Blanco'!J31="",0,'PVC Sanit Blanco'!J31),0)</f>
        <v>0</v>
      </c>
      <c r="I490" s="58" t="str">
        <f>IF(H490&gt;0, MAX(I$1:I489)+1, "")</f>
        <v/>
      </c>
    </row>
    <row r="491" spans="1:9" x14ac:dyDescent="0.2">
      <c r="A491" t="s">
        <v>1445</v>
      </c>
      <c r="B491" t="str">
        <f>'PVC Sanit Blanco'!A32</f>
        <v>Conducción Fluidos</v>
      </c>
      <c r="C491" t="str">
        <f>'PVC Sanit Blanco'!B32</f>
        <v>PVC SANITARIO BLANCO</v>
      </c>
      <c r="D491">
        <f>'PVC Sanit Blanco'!F32</f>
        <v>342318</v>
      </c>
      <c r="E491" t="str">
        <f>'PVC Sanit Blanco'!G32</f>
        <v>PVC SAN BLCO FT TEE 160 160 I</v>
      </c>
      <c r="F491">
        <f>'PVC Sanit Blanco'!H32</f>
        <v>1</v>
      </c>
      <c r="G491" t="str">
        <f>'PVC Sanit Blanco'!I32</f>
        <v>Unitario</v>
      </c>
      <c r="H491">
        <f>IFERROR(IF('PVC Sanit Blanco'!J32="",0,'PVC Sanit Blanco'!J32),0)</f>
        <v>0</v>
      </c>
      <c r="I491" s="58" t="str">
        <f>IF(H491&gt;0, MAX(I$1:I490)+1, "")</f>
        <v/>
      </c>
    </row>
    <row r="492" spans="1:9" x14ac:dyDescent="0.2">
      <c r="A492" t="s">
        <v>1445</v>
      </c>
      <c r="B492" t="str">
        <f>'PVC Sanit Blanco'!A33</f>
        <v>Conducción Fluidos</v>
      </c>
      <c r="C492" t="str">
        <f>'PVC Sanit Blanco'!B33</f>
        <v>PVC SANITARIO BLANCO</v>
      </c>
      <c r="D492">
        <f>'PVC Sanit Blanco'!F33</f>
        <v>42312</v>
      </c>
      <c r="E492" t="str">
        <f>'PVC Sanit Blanco'!G33</f>
        <v>PVC SAN BLCO FT TEE RED 75 40 N</v>
      </c>
      <c r="F492">
        <f>'PVC Sanit Blanco'!H33</f>
        <v>1</v>
      </c>
      <c r="G492" t="str">
        <f>'PVC Sanit Blanco'!I33</f>
        <v>Unitario</v>
      </c>
      <c r="H492">
        <f>IFERROR(IF('PVC Sanit Blanco'!J33="",0,'PVC Sanit Blanco'!J33),0)</f>
        <v>0</v>
      </c>
      <c r="I492" s="58" t="str">
        <f>IF(H492&gt;0, MAX(I$1:I491)+1, "")</f>
        <v/>
      </c>
    </row>
    <row r="493" spans="1:9" x14ac:dyDescent="0.2">
      <c r="A493" t="s">
        <v>1445</v>
      </c>
      <c r="B493" t="str">
        <f>'PVC Sanit Blanco'!A34</f>
        <v>Conducción Fluidos</v>
      </c>
      <c r="C493" t="str">
        <f>'PVC Sanit Blanco'!B34</f>
        <v>PVC SANITARIO BLANCO</v>
      </c>
      <c r="D493">
        <f>'PVC Sanit Blanco'!F34</f>
        <v>342313</v>
      </c>
      <c r="E493" t="str">
        <f>'PVC Sanit Blanco'!G34</f>
        <v>PVC SAN BLCO FT TEE RED 75 50 I</v>
      </c>
      <c r="F493">
        <f>'PVC Sanit Blanco'!H34</f>
        <v>1</v>
      </c>
      <c r="G493" t="str">
        <f>'PVC Sanit Blanco'!I34</f>
        <v>Unitario</v>
      </c>
      <c r="H493">
        <f>IFERROR(IF('PVC Sanit Blanco'!J34="",0,'PVC Sanit Blanco'!J34),0)</f>
        <v>0</v>
      </c>
      <c r="I493" s="58" t="str">
        <f>IF(H493&gt;0, MAX(I$1:I492)+1, "")</f>
        <v/>
      </c>
    </row>
    <row r="494" spans="1:9" x14ac:dyDescent="0.2">
      <c r="A494" t="s">
        <v>1445</v>
      </c>
      <c r="B494" t="str">
        <f>'PVC Sanit Blanco'!A35</f>
        <v>Conducción Fluidos</v>
      </c>
      <c r="C494" t="str">
        <f>'PVC Sanit Blanco'!B35</f>
        <v>PVC SANITARIO BLANCO</v>
      </c>
      <c r="D494">
        <f>'PVC Sanit Blanco'!F35</f>
        <v>342314</v>
      </c>
      <c r="E494" t="str">
        <f>'PVC Sanit Blanco'!G35</f>
        <v>PVC SAN BLCO FT TEE RED 110 40 I</v>
      </c>
      <c r="F494">
        <f>'PVC Sanit Blanco'!H35</f>
        <v>1</v>
      </c>
      <c r="G494" t="str">
        <f>'PVC Sanit Blanco'!I35</f>
        <v>Unitario</v>
      </c>
      <c r="H494">
        <f>IFERROR(IF('PVC Sanit Blanco'!J35="",0,'PVC Sanit Blanco'!J35),0)</f>
        <v>0</v>
      </c>
      <c r="I494" s="58" t="str">
        <f>IF(H494&gt;0, MAX(I$1:I493)+1, "")</f>
        <v/>
      </c>
    </row>
    <row r="495" spans="1:9" x14ac:dyDescent="0.2">
      <c r="A495" t="s">
        <v>1445</v>
      </c>
      <c r="B495" t="str">
        <f>'PVC Sanit Blanco'!A36</f>
        <v>Conducción Fluidos</v>
      </c>
      <c r="C495" t="str">
        <f>'PVC Sanit Blanco'!B36</f>
        <v>PVC SANITARIO BLANCO</v>
      </c>
      <c r="D495">
        <f>'PVC Sanit Blanco'!F36</f>
        <v>342315</v>
      </c>
      <c r="E495" t="str">
        <f>'PVC Sanit Blanco'!G36</f>
        <v>PVC SAN BLCO FT TEE RED 110 50 I</v>
      </c>
      <c r="F495">
        <f>'PVC Sanit Blanco'!H36</f>
        <v>1</v>
      </c>
      <c r="G495" t="str">
        <f>'PVC Sanit Blanco'!I36</f>
        <v>Unitario</v>
      </c>
      <c r="H495">
        <f>IFERROR(IF('PVC Sanit Blanco'!J36="",0,'PVC Sanit Blanco'!J36),0)</f>
        <v>0</v>
      </c>
      <c r="I495" s="58" t="str">
        <f>IF(H495&gt;0, MAX(I$1:I494)+1, "")</f>
        <v/>
      </c>
    </row>
    <row r="496" spans="1:9" x14ac:dyDescent="0.2">
      <c r="A496" t="s">
        <v>1445</v>
      </c>
      <c r="B496" t="str">
        <f>'PVC Sanit Blanco'!A37</f>
        <v>Conducción Fluidos</v>
      </c>
      <c r="C496" t="str">
        <f>'PVC Sanit Blanco'!B37</f>
        <v>PVC SANITARIO BLANCO</v>
      </c>
      <c r="D496">
        <f>'PVC Sanit Blanco'!F37</f>
        <v>342316</v>
      </c>
      <c r="E496" t="str">
        <f>'PVC Sanit Blanco'!G37</f>
        <v>PVC SAN BLCO FT TEE RED 110 75 I</v>
      </c>
      <c r="F496">
        <f>'PVC Sanit Blanco'!H37</f>
        <v>1</v>
      </c>
      <c r="G496" t="str">
        <f>'PVC Sanit Blanco'!I37</f>
        <v>Unitario</v>
      </c>
      <c r="H496">
        <f>IFERROR(IF('PVC Sanit Blanco'!J37="",0,'PVC Sanit Blanco'!J37),0)</f>
        <v>0</v>
      </c>
      <c r="I496" s="58" t="str">
        <f>IF(H496&gt;0, MAX(I$1:I495)+1, "")</f>
        <v/>
      </c>
    </row>
    <row r="497" spans="1:9" x14ac:dyDescent="0.2">
      <c r="A497" t="s">
        <v>1445</v>
      </c>
      <c r="B497" t="str">
        <f>'PVC Sanit Blanco'!A38</f>
        <v>Conducción Fluidos</v>
      </c>
      <c r="C497" t="str">
        <f>'PVC Sanit Blanco'!B38</f>
        <v>PVC SANITARIO BLANCO</v>
      </c>
      <c r="D497">
        <f>'PVC Sanit Blanco'!F38</f>
        <v>342317</v>
      </c>
      <c r="E497" t="str">
        <f>'PVC Sanit Blanco'!G38</f>
        <v>PVC SAN BLCO FT TEE RED 160 110 I</v>
      </c>
      <c r="F497">
        <f>'PVC Sanit Blanco'!H38</f>
        <v>1</v>
      </c>
      <c r="G497" t="str">
        <f>'PVC Sanit Blanco'!I38</f>
        <v>Unitario</v>
      </c>
      <c r="H497">
        <f>IFERROR(IF('PVC Sanit Blanco'!J38="",0,'PVC Sanit Blanco'!J38),0)</f>
        <v>0</v>
      </c>
      <c r="I497" s="58" t="str">
        <f>IF(H497&gt;0, MAX(I$1:I496)+1, "")</f>
        <v/>
      </c>
    </row>
    <row r="498" spans="1:9" x14ac:dyDescent="0.2">
      <c r="A498" t="s">
        <v>1445</v>
      </c>
      <c r="B498" t="str">
        <f>'PVC Sanit Blanco'!A39</f>
        <v>Conducción Fluidos</v>
      </c>
      <c r="C498" t="str">
        <f>'PVC Sanit Blanco'!B39</f>
        <v>PVC SANITARIO BLANCO</v>
      </c>
      <c r="D498">
        <f>'PVC Sanit Blanco'!F39</f>
        <v>42608</v>
      </c>
      <c r="E498" t="str">
        <f>'PVC Sanit Blanco'!G39</f>
        <v>PVC SAN BLCO FT TEE REG. 75 N</v>
      </c>
      <c r="F498">
        <f>'PVC Sanit Blanco'!H39</f>
        <v>1</v>
      </c>
      <c r="G498" t="str">
        <f>'PVC Sanit Blanco'!I39</f>
        <v>Unitario</v>
      </c>
      <c r="H498">
        <f>IFERROR(IF('PVC Sanit Blanco'!J39="",0,'PVC Sanit Blanco'!J39),0)</f>
        <v>0</v>
      </c>
      <c r="I498" s="58" t="str">
        <f>IF(H498&gt;0, MAX(I$1:I497)+1, "")</f>
        <v/>
      </c>
    </row>
    <row r="499" spans="1:9" x14ac:dyDescent="0.2">
      <c r="A499" t="s">
        <v>1445</v>
      </c>
      <c r="B499" t="str">
        <f>'PVC Sanit Blanco'!A40</f>
        <v>Conducción Fluidos</v>
      </c>
      <c r="C499" t="str">
        <f>'PVC Sanit Blanco'!B40</f>
        <v>PVC SANITARIO BLANCO</v>
      </c>
      <c r="D499">
        <f>'PVC Sanit Blanco'!F40</f>
        <v>342610</v>
      </c>
      <c r="E499" t="str">
        <f>'PVC Sanit Blanco'!G40</f>
        <v>PVC SAN BLCO FT TEE REG. 110 I</v>
      </c>
      <c r="F499">
        <f>'PVC Sanit Blanco'!H40</f>
        <v>1</v>
      </c>
      <c r="G499" t="str">
        <f>'PVC Sanit Blanco'!I40</f>
        <v>Unitario</v>
      </c>
      <c r="H499">
        <f>IFERROR(IF('PVC Sanit Blanco'!J40="",0,'PVC Sanit Blanco'!J40),0)</f>
        <v>0</v>
      </c>
      <c r="I499" s="58" t="str">
        <f>IF(H499&gt;0, MAX(I$1:I498)+1, "")</f>
        <v/>
      </c>
    </row>
    <row r="500" spans="1:9" x14ac:dyDescent="0.2">
      <c r="A500" t="s">
        <v>1445</v>
      </c>
      <c r="B500" t="str">
        <f>'PVC Sanit Blanco'!A41</f>
        <v>Conducción Fluidos</v>
      </c>
      <c r="C500" t="str">
        <f>'PVC Sanit Blanco'!B41</f>
        <v>PVC SANITARIO BLANCO</v>
      </c>
      <c r="D500">
        <f>'PVC Sanit Blanco'!F41</f>
        <v>342616</v>
      </c>
      <c r="E500" t="str">
        <f>'PVC Sanit Blanco'!G41</f>
        <v>PVC SAN BLCO FT TEE REG. 160 I</v>
      </c>
      <c r="F500">
        <f>'PVC Sanit Blanco'!H41</f>
        <v>1</v>
      </c>
      <c r="G500" t="str">
        <f>'PVC Sanit Blanco'!I41</f>
        <v>Unitario</v>
      </c>
      <c r="H500">
        <f>IFERROR(IF('PVC Sanit Blanco'!J41="",0,'PVC Sanit Blanco'!J41),0)</f>
        <v>0</v>
      </c>
      <c r="I500" s="58" t="str">
        <f>IF(H500&gt;0, MAX(I$1:I499)+1, "")</f>
        <v/>
      </c>
    </row>
    <row r="501" spans="1:9" x14ac:dyDescent="0.2">
      <c r="A501" t="s">
        <v>1445</v>
      </c>
      <c r="B501" t="str">
        <f>'PVC Sanit Blanco'!A42</f>
        <v>Conducción Fluidos</v>
      </c>
      <c r="C501" t="str">
        <f>'PVC Sanit Blanco'!B42</f>
        <v>PVC SANITARIO BLANCO</v>
      </c>
      <c r="D501">
        <f>'PVC Sanit Blanco'!F42</f>
        <v>342611</v>
      </c>
      <c r="E501" t="str">
        <f>'PVC Sanit Blanco'!G42</f>
        <v>PVC SAN BLCO FT TAPA REG 110 I</v>
      </c>
      <c r="F501">
        <f>'PVC Sanit Blanco'!H42</f>
        <v>1</v>
      </c>
      <c r="G501" t="str">
        <f>'PVC Sanit Blanco'!I42</f>
        <v>Unitario</v>
      </c>
      <c r="H501">
        <f>IFERROR(IF('PVC Sanit Blanco'!J42="",0,'PVC Sanit Blanco'!J42),0)</f>
        <v>0</v>
      </c>
      <c r="I501" s="58" t="str">
        <f>IF(H501&gt;0, MAX(I$1:I500)+1, "")</f>
        <v/>
      </c>
    </row>
    <row r="502" spans="1:9" x14ac:dyDescent="0.2">
      <c r="A502" t="s">
        <v>1445</v>
      </c>
      <c r="B502" t="str">
        <f>'PVC Sanit Blanco'!A43</f>
        <v>Conducción Fluidos</v>
      </c>
      <c r="C502" t="str">
        <f>'PVC Sanit Blanco'!B43</f>
        <v>PVC SANITARIO BLANCO</v>
      </c>
      <c r="D502">
        <f>'PVC Sanit Blanco'!F43</f>
        <v>342612</v>
      </c>
      <c r="E502" t="str">
        <f>'PVC Sanit Blanco'!G43</f>
        <v>PVC SAN BLCO FT TAPA REG 160 I</v>
      </c>
      <c r="F502">
        <f>'PVC Sanit Blanco'!H43</f>
        <v>1</v>
      </c>
      <c r="G502" t="str">
        <f>'PVC Sanit Blanco'!I43</f>
        <v>Unitario</v>
      </c>
      <c r="H502">
        <f>IFERROR(IF('PVC Sanit Blanco'!J43="",0,'PVC Sanit Blanco'!J43),0)</f>
        <v>0</v>
      </c>
      <c r="I502" s="58" t="str">
        <f>IF(H502&gt;0, MAX(I$1:I501)+1, "")</f>
        <v/>
      </c>
    </row>
    <row r="503" spans="1:9" x14ac:dyDescent="0.2">
      <c r="A503" t="s">
        <v>1445</v>
      </c>
      <c r="B503" t="str">
        <f>'PVC Sanit Blanco'!A44</f>
        <v>Conducción Fluidos</v>
      </c>
      <c r="C503" t="str">
        <f>'PVC Sanit Blanco'!B44</f>
        <v>PVC SANITARIO BLANCO</v>
      </c>
      <c r="D503">
        <f>'PVC Sanit Blanco'!F44</f>
        <v>42705</v>
      </c>
      <c r="E503" t="str">
        <f>'PVC Sanit Blanco'!G44</f>
        <v>PVC SAN BLCO FT VEE 40 40 N</v>
      </c>
      <c r="F503">
        <f>'PVC Sanit Blanco'!H44</f>
        <v>1</v>
      </c>
      <c r="G503" t="str">
        <f>'PVC Sanit Blanco'!I44</f>
        <v>Unitario</v>
      </c>
      <c r="H503">
        <f>IFERROR(IF('PVC Sanit Blanco'!J44="",0,'PVC Sanit Blanco'!J44),0)</f>
        <v>0</v>
      </c>
      <c r="I503" s="58" t="str">
        <f>IF(H503&gt;0, MAX(I$1:I502)+1, "")</f>
        <v/>
      </c>
    </row>
    <row r="504" spans="1:9" x14ac:dyDescent="0.2">
      <c r="A504" t="s">
        <v>1445</v>
      </c>
      <c r="B504" t="str">
        <f>'PVC Sanit Blanco'!A45</f>
        <v>Conducción Fluidos</v>
      </c>
      <c r="C504" t="str">
        <f>'PVC Sanit Blanco'!B45</f>
        <v>PVC SANITARIO BLANCO</v>
      </c>
      <c r="D504">
        <f>'PVC Sanit Blanco'!F45</f>
        <v>342706</v>
      </c>
      <c r="E504" t="str">
        <f>'PVC Sanit Blanco'!G45</f>
        <v>PVC SAN BLCO FT VEE  50 50 I</v>
      </c>
      <c r="F504">
        <f>'PVC Sanit Blanco'!H45</f>
        <v>1</v>
      </c>
      <c r="G504" t="str">
        <f>'PVC Sanit Blanco'!I45</f>
        <v>Unitario</v>
      </c>
      <c r="H504">
        <f>IFERROR(IF('PVC Sanit Blanco'!J45="",0,'PVC Sanit Blanco'!J45),0)</f>
        <v>0</v>
      </c>
      <c r="I504" s="58" t="str">
        <f>IF(H504&gt;0, MAX(I$1:I503)+1, "")</f>
        <v/>
      </c>
    </row>
    <row r="505" spans="1:9" x14ac:dyDescent="0.2">
      <c r="A505" t="s">
        <v>1445</v>
      </c>
      <c r="B505" t="str">
        <f>'PVC Sanit Blanco'!A46</f>
        <v>Conducción Fluidos</v>
      </c>
      <c r="C505" t="str">
        <f>'PVC Sanit Blanco'!B46</f>
        <v>PVC SANITARIO BLANCO</v>
      </c>
      <c r="D505">
        <f>'PVC Sanit Blanco'!F46</f>
        <v>342708</v>
      </c>
      <c r="E505" t="str">
        <f>'PVC Sanit Blanco'!G46</f>
        <v>PVC SAN BLCO FT VEE 75 75 I</v>
      </c>
      <c r="F505">
        <f>'PVC Sanit Blanco'!H46</f>
        <v>1</v>
      </c>
      <c r="G505" t="str">
        <f>'PVC Sanit Blanco'!I46</f>
        <v>Unitario</v>
      </c>
      <c r="H505">
        <f>IFERROR(IF('PVC Sanit Blanco'!J46="",0,'PVC Sanit Blanco'!J46),0)</f>
        <v>0</v>
      </c>
      <c r="I505" s="58" t="str">
        <f>IF(H505&gt;0, MAX(I$1:I504)+1, "")</f>
        <v/>
      </c>
    </row>
    <row r="506" spans="1:9" x14ac:dyDescent="0.2">
      <c r="A506" t="s">
        <v>1445</v>
      </c>
      <c r="B506" t="str">
        <f>'PVC Sanit Blanco'!A47</f>
        <v>Conducción Fluidos</v>
      </c>
      <c r="C506" t="str">
        <f>'PVC Sanit Blanco'!B47</f>
        <v>PVC SANITARIO BLANCO</v>
      </c>
      <c r="D506">
        <f>'PVC Sanit Blanco'!F47</f>
        <v>342710</v>
      </c>
      <c r="E506" t="str">
        <f>'PVC Sanit Blanco'!G47</f>
        <v>PVC SAN BLCO FT VEE 110 110 I</v>
      </c>
      <c r="F506">
        <f>'PVC Sanit Blanco'!H47</f>
        <v>1</v>
      </c>
      <c r="G506" t="str">
        <f>'PVC Sanit Blanco'!I47</f>
        <v>Unitario</v>
      </c>
      <c r="H506">
        <f>IFERROR(IF('PVC Sanit Blanco'!J47="",0,'PVC Sanit Blanco'!J47),0)</f>
        <v>0</v>
      </c>
      <c r="I506" s="58" t="str">
        <f>IF(H506&gt;0, MAX(I$1:I505)+1, "")</f>
        <v/>
      </c>
    </row>
    <row r="507" spans="1:9" x14ac:dyDescent="0.2">
      <c r="A507" t="s">
        <v>1445</v>
      </c>
      <c r="B507" t="str">
        <f>'PVC Sanit Blanco'!A48</f>
        <v>Conducción Fluidos</v>
      </c>
      <c r="C507" t="str">
        <f>'PVC Sanit Blanco'!B48</f>
        <v>PVC SANITARIO BLANCO</v>
      </c>
      <c r="D507">
        <f>'PVC Sanit Blanco'!F48</f>
        <v>342718</v>
      </c>
      <c r="E507" t="str">
        <f>'PVC Sanit Blanco'!G48</f>
        <v>PVC SAN BLCO FT VEE 160 160 I</v>
      </c>
      <c r="F507">
        <f>'PVC Sanit Blanco'!H48</f>
        <v>1</v>
      </c>
      <c r="G507" t="str">
        <f>'PVC Sanit Blanco'!I48</f>
        <v>Unitario</v>
      </c>
      <c r="H507">
        <f>IFERROR(IF('PVC Sanit Blanco'!J48="",0,'PVC Sanit Blanco'!J48),0)</f>
        <v>0</v>
      </c>
      <c r="I507" s="58" t="str">
        <f>IF(H507&gt;0, MAX(I$1:I506)+1, "")</f>
        <v/>
      </c>
    </row>
    <row r="508" spans="1:9" x14ac:dyDescent="0.2">
      <c r="A508" t="s">
        <v>1445</v>
      </c>
      <c r="B508" t="str">
        <f>'PVC Sanit Blanco'!A49</f>
        <v>Conducción Fluidos</v>
      </c>
      <c r="C508" t="str">
        <f>'PVC Sanit Blanco'!B49</f>
        <v>PVC SANITARIO BLANCO</v>
      </c>
      <c r="D508">
        <f>'PVC Sanit Blanco'!F49</f>
        <v>42712</v>
      </c>
      <c r="E508" t="str">
        <f>'PVC Sanit Blanco'!G49</f>
        <v>PVC SAN BLCO FT VEE RED 75 40 N</v>
      </c>
      <c r="F508">
        <f>'PVC Sanit Blanco'!H49</f>
        <v>1</v>
      </c>
      <c r="G508" t="str">
        <f>'PVC Sanit Blanco'!I49</f>
        <v>Unitario</v>
      </c>
      <c r="H508">
        <f>IFERROR(IF('PVC Sanit Blanco'!J49="",0,'PVC Sanit Blanco'!J49),0)</f>
        <v>0</v>
      </c>
      <c r="I508" s="58" t="str">
        <f>IF(H508&gt;0, MAX(I$1:I507)+1, "")</f>
        <v/>
      </c>
    </row>
    <row r="509" spans="1:9" x14ac:dyDescent="0.2">
      <c r="A509" t="s">
        <v>1445</v>
      </c>
      <c r="B509" t="str">
        <f>'PVC Sanit Blanco'!A50</f>
        <v>Conducción Fluidos</v>
      </c>
      <c r="C509" t="str">
        <f>'PVC Sanit Blanco'!B50</f>
        <v>PVC SANITARIO BLANCO</v>
      </c>
      <c r="D509">
        <f>'PVC Sanit Blanco'!F50</f>
        <v>342713</v>
      </c>
      <c r="E509" t="str">
        <f>'PVC Sanit Blanco'!G50</f>
        <v>PVC SAN BLCO FT VEE RED 75 50 I</v>
      </c>
      <c r="F509">
        <f>'PVC Sanit Blanco'!H50</f>
        <v>1</v>
      </c>
      <c r="G509" t="str">
        <f>'PVC Sanit Blanco'!I50</f>
        <v>Unitario</v>
      </c>
      <c r="H509">
        <f>IFERROR(IF('PVC Sanit Blanco'!J50="",0,'PVC Sanit Blanco'!J50),0)</f>
        <v>0</v>
      </c>
      <c r="I509" s="58" t="str">
        <f>IF(H509&gt;0, MAX(I$1:I508)+1, "")</f>
        <v/>
      </c>
    </row>
    <row r="510" spans="1:9" x14ac:dyDescent="0.2">
      <c r="A510" t="s">
        <v>1445</v>
      </c>
      <c r="B510" t="str">
        <f>'PVC Sanit Blanco'!A51</f>
        <v>Conducción Fluidos</v>
      </c>
      <c r="C510" t="str">
        <f>'PVC Sanit Blanco'!B51</f>
        <v>PVC SANITARIO BLANCO</v>
      </c>
      <c r="D510">
        <f>'PVC Sanit Blanco'!F51</f>
        <v>342714</v>
      </c>
      <c r="E510" t="str">
        <f>'PVC Sanit Blanco'!G51</f>
        <v>PVC SAN BLCO FT VEE RED 110 40 I</v>
      </c>
      <c r="F510">
        <f>'PVC Sanit Blanco'!H51</f>
        <v>1</v>
      </c>
      <c r="G510" t="str">
        <f>'PVC Sanit Blanco'!I51</f>
        <v>Unitario</v>
      </c>
      <c r="H510">
        <f>IFERROR(IF('PVC Sanit Blanco'!J51="",0,'PVC Sanit Blanco'!J51),0)</f>
        <v>0</v>
      </c>
      <c r="I510" s="58" t="str">
        <f>IF(H510&gt;0, MAX(I$1:I509)+1, "")</f>
        <v/>
      </c>
    </row>
    <row r="511" spans="1:9" x14ac:dyDescent="0.2">
      <c r="A511" t="s">
        <v>1445</v>
      </c>
      <c r="B511" t="str">
        <f>'PVC Sanit Blanco'!A52</f>
        <v>Conducción Fluidos</v>
      </c>
      <c r="C511" t="str">
        <f>'PVC Sanit Blanco'!B52</f>
        <v>PVC SANITARIO BLANCO</v>
      </c>
      <c r="D511">
        <f>'PVC Sanit Blanco'!F52</f>
        <v>342715</v>
      </c>
      <c r="E511" t="str">
        <f>'PVC Sanit Blanco'!G52</f>
        <v>PVC SAN BLCO FT VEE RED 110 50 I</v>
      </c>
      <c r="F511">
        <f>'PVC Sanit Blanco'!H52</f>
        <v>1</v>
      </c>
      <c r="G511" t="str">
        <f>'PVC Sanit Blanco'!I52</f>
        <v>Unitario</v>
      </c>
      <c r="H511">
        <f>IFERROR(IF('PVC Sanit Blanco'!J52="",0,'PVC Sanit Blanco'!J52),0)</f>
        <v>0</v>
      </c>
      <c r="I511" s="58" t="str">
        <f>IF(H511&gt;0, MAX(I$1:I510)+1, "")</f>
        <v/>
      </c>
    </row>
    <row r="512" spans="1:9" x14ac:dyDescent="0.2">
      <c r="A512" t="s">
        <v>1445</v>
      </c>
      <c r="B512" t="str">
        <f>'PVC Sanit Blanco'!A53</f>
        <v>Conducción Fluidos</v>
      </c>
      <c r="C512" t="str">
        <f>'PVC Sanit Blanco'!B53</f>
        <v>PVC SANITARIO BLANCO</v>
      </c>
      <c r="D512">
        <f>'PVC Sanit Blanco'!F53</f>
        <v>342716</v>
      </c>
      <c r="E512" t="str">
        <f>'PVC Sanit Blanco'!G53</f>
        <v>PVC SAN BLCO FT VEE RED 110 75 I</v>
      </c>
      <c r="F512">
        <f>'PVC Sanit Blanco'!H53</f>
        <v>1</v>
      </c>
      <c r="G512" t="str">
        <f>'PVC Sanit Blanco'!I53</f>
        <v>Unitario</v>
      </c>
      <c r="H512">
        <f>IFERROR(IF('PVC Sanit Blanco'!J53="",0,'PVC Sanit Blanco'!J53),0)</f>
        <v>0</v>
      </c>
      <c r="I512" s="58" t="str">
        <f>IF(H512&gt;0, MAX(I$1:I511)+1, "")</f>
        <v/>
      </c>
    </row>
    <row r="513" spans="1:9" x14ac:dyDescent="0.2">
      <c r="A513" t="s">
        <v>1445</v>
      </c>
      <c r="B513" t="str">
        <f>'PVC Sanit Blanco'!A54</f>
        <v>Conducción Fluidos</v>
      </c>
      <c r="C513" t="str">
        <f>'PVC Sanit Blanco'!B54</f>
        <v>PVC SANITARIO BLANCO</v>
      </c>
      <c r="D513">
        <f>'PVC Sanit Blanco'!F54</f>
        <v>342717</v>
      </c>
      <c r="E513" t="str">
        <f>'PVC Sanit Blanco'!G54</f>
        <v>PVC SAN BLCO FT VEE RED 160 110 I</v>
      </c>
      <c r="F513">
        <f>'PVC Sanit Blanco'!H54</f>
        <v>1</v>
      </c>
      <c r="G513" t="str">
        <f>'PVC Sanit Blanco'!I54</f>
        <v>Unitario</v>
      </c>
      <c r="H513">
        <f>IFERROR(IF('PVC Sanit Blanco'!J54="",0,'PVC Sanit Blanco'!J54),0)</f>
        <v>0</v>
      </c>
      <c r="I513" s="58" t="str">
        <f>IF(H513&gt;0, MAX(I$1:I512)+1, "")</f>
        <v/>
      </c>
    </row>
    <row r="514" spans="1:9" x14ac:dyDescent="0.2">
      <c r="A514" t="s">
        <v>1445</v>
      </c>
      <c r="B514" t="str">
        <f>'PVC Sanit Blanco'!A55</f>
        <v>Conducción Fluidos</v>
      </c>
      <c r="C514" t="str">
        <f>'PVC Sanit Blanco'!B55</f>
        <v>PVC SANITARIO BLANCO</v>
      </c>
      <c r="D514">
        <f>'PVC Sanit Blanco'!F55</f>
        <v>42005</v>
      </c>
      <c r="E514" t="str">
        <f>'PVC Sanit Blanco'!G55</f>
        <v>PVC SAN BLCO FT RED 50 40 N</v>
      </c>
      <c r="F514">
        <f>'PVC Sanit Blanco'!H55</f>
        <v>1</v>
      </c>
      <c r="G514" t="str">
        <f>'PVC Sanit Blanco'!I55</f>
        <v>Unitario</v>
      </c>
      <c r="H514">
        <f>IFERROR(IF('PVC Sanit Blanco'!J55="",0,'PVC Sanit Blanco'!J55),0)</f>
        <v>0</v>
      </c>
      <c r="I514" s="58" t="str">
        <f>IF(H514&gt;0, MAX(I$1:I513)+1, "")</f>
        <v/>
      </c>
    </row>
    <row r="515" spans="1:9" x14ac:dyDescent="0.2">
      <c r="A515" t="s">
        <v>1445</v>
      </c>
      <c r="B515" t="str">
        <f>'PVC Sanit Blanco'!A56</f>
        <v>Conducción Fluidos</v>
      </c>
      <c r="C515" t="str">
        <f>'PVC Sanit Blanco'!B56</f>
        <v>PVC SANITARIO BLANCO</v>
      </c>
      <c r="D515">
        <f>'PVC Sanit Blanco'!F56</f>
        <v>342006</v>
      </c>
      <c r="E515" t="str">
        <f>'PVC Sanit Blanco'!G56</f>
        <v>PVC SAN BLCO FT RED 75 50 I</v>
      </c>
      <c r="F515">
        <f>'PVC Sanit Blanco'!H56</f>
        <v>1</v>
      </c>
      <c r="G515" t="str">
        <f>'PVC Sanit Blanco'!I56</f>
        <v>Unitario</v>
      </c>
      <c r="H515">
        <f>IFERROR(IF('PVC Sanit Blanco'!J56="",0,'PVC Sanit Blanco'!J56),0)</f>
        <v>0</v>
      </c>
      <c r="I515" s="58" t="str">
        <f>IF(H515&gt;0, MAX(I$1:I514)+1, "")</f>
        <v/>
      </c>
    </row>
    <row r="516" spans="1:9" x14ac:dyDescent="0.2">
      <c r="A516" t="s">
        <v>1445</v>
      </c>
      <c r="B516" t="str">
        <f>'PVC Sanit Blanco'!A57</f>
        <v>Conducción Fluidos</v>
      </c>
      <c r="C516" t="str">
        <f>'PVC Sanit Blanco'!B57</f>
        <v>PVC SANITARIO BLANCO</v>
      </c>
      <c r="D516">
        <f>'PVC Sanit Blanco'!F57</f>
        <v>342008</v>
      </c>
      <c r="E516" t="str">
        <f>'PVC Sanit Blanco'!G57</f>
        <v>PVC SAN BLCO FT RED 110 50 I</v>
      </c>
      <c r="F516">
        <f>'PVC Sanit Blanco'!H57</f>
        <v>1</v>
      </c>
      <c r="G516" t="str">
        <f>'PVC Sanit Blanco'!I57</f>
        <v>Unitario</v>
      </c>
      <c r="H516">
        <f>IFERROR(IF('PVC Sanit Blanco'!J57="",0,'PVC Sanit Blanco'!J57),0)</f>
        <v>0</v>
      </c>
      <c r="I516" s="58" t="str">
        <f>IF(H516&gt;0, MAX(I$1:I515)+1, "")</f>
        <v/>
      </c>
    </row>
    <row r="517" spans="1:9" x14ac:dyDescent="0.2">
      <c r="A517" t="s">
        <v>1445</v>
      </c>
      <c r="B517" t="str">
        <f>'PVC Sanit Blanco'!A58</f>
        <v>Conducción Fluidos</v>
      </c>
      <c r="C517" t="str">
        <f>'PVC Sanit Blanco'!B58</f>
        <v>PVC SANITARIO BLANCO</v>
      </c>
      <c r="D517">
        <f>'PVC Sanit Blanco'!F58</f>
        <v>342010</v>
      </c>
      <c r="E517" t="str">
        <f>'PVC Sanit Blanco'!G58</f>
        <v>PVC SAN BLCO FT RED 110 75 I</v>
      </c>
      <c r="F517">
        <f>'PVC Sanit Blanco'!H58</f>
        <v>1</v>
      </c>
      <c r="G517" t="str">
        <f>'PVC Sanit Blanco'!I58</f>
        <v>Unitario</v>
      </c>
      <c r="H517">
        <f>IFERROR(IF('PVC Sanit Blanco'!J58="",0,'PVC Sanit Blanco'!J58),0)</f>
        <v>0</v>
      </c>
      <c r="I517" s="58" t="str">
        <f>IF(H517&gt;0, MAX(I$1:I516)+1, "")</f>
        <v/>
      </c>
    </row>
    <row r="518" spans="1:9" x14ac:dyDescent="0.2">
      <c r="A518" t="s">
        <v>1445</v>
      </c>
      <c r="B518" t="str">
        <f>'PVC Sanit Blanco'!A59</f>
        <v>Conducción Fluidos</v>
      </c>
      <c r="C518" t="str">
        <f>'PVC Sanit Blanco'!B59</f>
        <v>PVC SANITARIO BLANCO</v>
      </c>
      <c r="D518">
        <f>'PVC Sanit Blanco'!F59</f>
        <v>342016</v>
      </c>
      <c r="E518" t="str">
        <f>'PVC Sanit Blanco'!G59</f>
        <v>PVC SAN BLCO FT RED 160 110 I</v>
      </c>
      <c r="F518">
        <f>'PVC Sanit Blanco'!H59</f>
        <v>1</v>
      </c>
      <c r="G518" t="str">
        <f>'PVC Sanit Blanco'!I59</f>
        <v>Unitario</v>
      </c>
      <c r="H518">
        <f>IFERROR(IF('PVC Sanit Blanco'!J59="",0,'PVC Sanit Blanco'!J59),0)</f>
        <v>0</v>
      </c>
      <c r="I518" s="58" t="str">
        <f>IF(H518&gt;0, MAX(I$1:I517)+1, "")</f>
        <v/>
      </c>
    </row>
    <row r="519" spans="1:9" x14ac:dyDescent="0.2">
      <c r="A519" t="s">
        <v>1445</v>
      </c>
      <c r="B519" t="str">
        <f>'PVC Sanit Blanco'!A60</f>
        <v>Conducción Fluidos</v>
      </c>
      <c r="C519" t="str">
        <f>'PVC Sanit Blanco'!B60</f>
        <v>PVC SANITARIO BLANCO</v>
      </c>
      <c r="D519">
        <f>'PVC Sanit Blanco'!F60</f>
        <v>342505</v>
      </c>
      <c r="E519" t="str">
        <f>'PVC Sanit Blanco'!G60</f>
        <v>PVC SAN BLCO FT TAPA 40 I</v>
      </c>
      <c r="F519">
        <f>'PVC Sanit Blanco'!H60</f>
        <v>1</v>
      </c>
      <c r="G519" t="str">
        <f>'PVC Sanit Blanco'!I60</f>
        <v>Bolsa</v>
      </c>
      <c r="H519">
        <f>IFERROR(IF('PVC Sanit Blanco'!J60="",0,'PVC Sanit Blanco'!J60),0)</f>
        <v>0</v>
      </c>
      <c r="I519" s="58" t="str">
        <f>IF(H519&gt;0, MAX(I$1:I518)+1, "")</f>
        <v/>
      </c>
    </row>
    <row r="520" spans="1:9" x14ac:dyDescent="0.2">
      <c r="A520" t="s">
        <v>1445</v>
      </c>
      <c r="B520" t="str">
        <f>'PVC Sanit Blanco'!A61</f>
        <v>Conducción Fluidos</v>
      </c>
      <c r="C520" t="str">
        <f>'PVC Sanit Blanco'!B61</f>
        <v>PVC SANITARIO BLANCO</v>
      </c>
      <c r="D520">
        <f>'PVC Sanit Blanco'!F61</f>
        <v>342506</v>
      </c>
      <c r="E520" t="str">
        <f>'PVC Sanit Blanco'!G61</f>
        <v>PVC SAN BLCO FT TAPA 50 I</v>
      </c>
      <c r="F520">
        <f>'PVC Sanit Blanco'!H61</f>
        <v>1</v>
      </c>
      <c r="G520" t="str">
        <f>'PVC Sanit Blanco'!I61</f>
        <v>Bolsa</v>
      </c>
      <c r="H520">
        <f>IFERROR(IF('PVC Sanit Blanco'!J61="",0,'PVC Sanit Blanco'!J61),0)</f>
        <v>0</v>
      </c>
      <c r="I520" s="58" t="str">
        <f>IF(H520&gt;0, MAX(I$1:I519)+1, "")</f>
        <v/>
      </c>
    </row>
    <row r="521" spans="1:9" x14ac:dyDescent="0.2">
      <c r="A521" t="s">
        <v>1445</v>
      </c>
      <c r="B521" t="str">
        <f>'PVC Sanit Blanco'!A62</f>
        <v>Conducción Fluidos</v>
      </c>
      <c r="C521" t="str">
        <f>'PVC Sanit Blanco'!B62</f>
        <v>PVC SANITARIO BLANCO</v>
      </c>
      <c r="D521">
        <f>'PVC Sanit Blanco'!F62</f>
        <v>342508</v>
      </c>
      <c r="E521" t="str">
        <f>'PVC Sanit Blanco'!G62</f>
        <v>PVC SAN BLCO FT TAPA 75 I</v>
      </c>
      <c r="F521">
        <f>'PVC Sanit Blanco'!H62</f>
        <v>1</v>
      </c>
      <c r="G521" t="str">
        <f>'PVC Sanit Blanco'!I62</f>
        <v>Bolsa</v>
      </c>
      <c r="H521">
        <f>IFERROR(IF('PVC Sanit Blanco'!J62="",0,'PVC Sanit Blanco'!J62),0)</f>
        <v>0</v>
      </c>
      <c r="I521" s="58" t="str">
        <f>IF(H521&gt;0, MAX(I$1:I520)+1, "")</f>
        <v/>
      </c>
    </row>
    <row r="522" spans="1:9" x14ac:dyDescent="0.2">
      <c r="A522" t="s">
        <v>1445</v>
      </c>
      <c r="B522" t="str">
        <f>'PVC Sanit Blanco'!A63</f>
        <v>Conducción Fluidos</v>
      </c>
      <c r="C522" t="str">
        <f>'PVC Sanit Blanco'!B63</f>
        <v>PVC SANITARIO BLANCO</v>
      </c>
      <c r="D522">
        <f>'PVC Sanit Blanco'!F63</f>
        <v>342510</v>
      </c>
      <c r="E522" t="str">
        <f>'PVC Sanit Blanco'!G63</f>
        <v>PVC SAN BLCO FT TAPA 110 I</v>
      </c>
      <c r="F522">
        <f>'PVC Sanit Blanco'!H63</f>
        <v>1</v>
      </c>
      <c r="G522" t="str">
        <f>'PVC Sanit Blanco'!I63</f>
        <v>Bolsa</v>
      </c>
      <c r="H522">
        <f>IFERROR(IF('PVC Sanit Blanco'!J63="",0,'PVC Sanit Blanco'!J63),0)</f>
        <v>0</v>
      </c>
      <c r="I522" s="58" t="str">
        <f>IF(H522&gt;0, MAX(I$1:I521)+1, "")</f>
        <v/>
      </c>
    </row>
    <row r="523" spans="1:9" x14ac:dyDescent="0.2">
      <c r="A523" t="s">
        <v>1445</v>
      </c>
      <c r="B523" t="str">
        <f>'PVC Sanit Blanco'!A64</f>
        <v>Conducción Fluidos</v>
      </c>
      <c r="C523" t="str">
        <f>'PVC Sanit Blanco'!B64</f>
        <v>PVC SANITARIO BLANCO</v>
      </c>
      <c r="D523">
        <f>'PVC Sanit Blanco'!F64</f>
        <v>342516</v>
      </c>
      <c r="E523" t="str">
        <f>'PVC Sanit Blanco'!G64</f>
        <v>PVC SAN BLCO FT TAPA 160 I</v>
      </c>
      <c r="F523">
        <f>'PVC Sanit Blanco'!H64</f>
        <v>1</v>
      </c>
      <c r="G523" t="str">
        <f>'PVC Sanit Blanco'!I64</f>
        <v>Unitario</v>
      </c>
      <c r="H523">
        <f>IFERROR(IF('PVC Sanit Blanco'!J64="",0,'PVC Sanit Blanco'!J64),0)</f>
        <v>0</v>
      </c>
      <c r="I523" s="58" t="str">
        <f>IF(H523&gt;0, MAX(I$1:I522)+1, "")</f>
        <v/>
      </c>
    </row>
    <row r="524" spans="1:9" x14ac:dyDescent="0.2">
      <c r="A524" t="s">
        <v>1445</v>
      </c>
      <c r="B524" t="str">
        <f>'PVC Sanit Blanco'!A65</f>
        <v>Conducción Fluidos</v>
      </c>
      <c r="C524" t="str">
        <f>'PVC Sanit Blanco'!B65</f>
        <v>PVC SANITARIO BLANCO</v>
      </c>
      <c r="D524">
        <f>'PVC Sanit Blanco'!F65</f>
        <v>60001</v>
      </c>
      <c r="E524" t="str">
        <f>'PVC Sanit Blanco'!G65</f>
        <v>PVC SAN BLCO ACC VAL ADMISION AIRE 50MM</v>
      </c>
      <c r="F524">
        <f>'PVC Sanit Blanco'!H65</f>
        <v>1</v>
      </c>
      <c r="G524" t="str">
        <f>'PVC Sanit Blanco'!I65</f>
        <v>Unitario</v>
      </c>
      <c r="H524">
        <f>IFERROR(IF('PVC Sanit Blanco'!J65="",0,'PVC Sanit Blanco'!J65),0)</f>
        <v>0</v>
      </c>
      <c r="I524" s="58" t="str">
        <f>IF(H524&gt;0, MAX(I$1:I523)+1, "")</f>
        <v/>
      </c>
    </row>
    <row r="525" spans="1:9" x14ac:dyDescent="0.2">
      <c r="A525" t="s">
        <v>1445</v>
      </c>
      <c r="B525" t="str">
        <f>'PVC Sanit Blanco'!A66</f>
        <v>Conducción Fluidos</v>
      </c>
      <c r="C525" t="str">
        <f>'PVC Sanit Blanco'!B66</f>
        <v>PVC SANITARIO BLANCO</v>
      </c>
      <c r="D525">
        <f>'PVC Sanit Blanco'!F66</f>
        <v>60002</v>
      </c>
      <c r="E525" t="str">
        <f>'PVC Sanit Blanco'!G66</f>
        <v>PVC SAN BLCO ACC VAL ADMISION AIRE 110MM</v>
      </c>
      <c r="F525">
        <f>'PVC Sanit Blanco'!H66</f>
        <v>1</v>
      </c>
      <c r="G525" t="str">
        <f>'PVC Sanit Blanco'!I66</f>
        <v>Unitario</v>
      </c>
      <c r="H525">
        <f>IFERROR(IF('PVC Sanit Blanco'!J66="",0,'PVC Sanit Blanco'!J66),0)</f>
        <v>0</v>
      </c>
      <c r="I525" s="58" t="str">
        <f>IF(H525&gt;0, MAX(I$1:I524)+1, "")</f>
        <v/>
      </c>
    </row>
    <row r="526" spans="1:9" x14ac:dyDescent="0.2">
      <c r="A526" t="s">
        <v>1445</v>
      </c>
      <c r="B526" t="str">
        <f>'PVC Sanit Blanco'!A67</f>
        <v>Conducción Fluidos</v>
      </c>
      <c r="C526" t="str">
        <f>'PVC Sanit Blanco'!B67</f>
        <v>PVC SANITARIO BLANCO</v>
      </c>
      <c r="D526">
        <f>'PVC Sanit Blanco'!F67</f>
        <v>60003</v>
      </c>
      <c r="E526" t="str">
        <f>'PVC Sanit Blanco'!G67</f>
        <v>PVC SAN BLCO ACC ADAPT GOMA 32-63MM</v>
      </c>
      <c r="F526">
        <f>'PVC Sanit Blanco'!H67</f>
        <v>1</v>
      </c>
      <c r="G526" t="str">
        <f>'PVC Sanit Blanco'!I67</f>
        <v>Unitario</v>
      </c>
      <c r="H526">
        <f>IFERROR(IF('PVC Sanit Blanco'!J67="",0,'PVC Sanit Blanco'!J67),0)</f>
        <v>0</v>
      </c>
      <c r="I526" s="58" t="str">
        <f>IF(H526&gt;0, MAX(I$1:I525)+1, "")</f>
        <v/>
      </c>
    </row>
    <row r="527" spans="1:9" x14ac:dyDescent="0.2">
      <c r="A527" t="s">
        <v>26</v>
      </c>
      <c r="B527" t="str">
        <f>'PVC Presión'!A3</f>
        <v>Conducción Fluidos</v>
      </c>
      <c r="C527" t="str">
        <f>'PVC Presión'!B3</f>
        <v>PVC PRESION / HIDRÁULICO</v>
      </c>
      <c r="D527">
        <f>'PVC Presión'!F3</f>
        <v>15002</v>
      </c>
      <c r="E527" t="str">
        <f>'PVC Presión'!G3</f>
        <v>PVC PRE TUBO 6M 20 PN16 N</v>
      </c>
      <c r="F527">
        <f>'PVC Presión'!H3</f>
        <v>20</v>
      </c>
      <c r="G527" t="str">
        <f>'PVC Presión'!I3</f>
        <v>Bolsa</v>
      </c>
      <c r="H527">
        <f>IFERROR(IF('PVC Presión'!J3="",0,'PVC Presión'!J3),0)</f>
        <v>0</v>
      </c>
      <c r="I527" s="58" t="str">
        <f>IF(H527&gt;0, MAX(I$1:I526)+1, "")</f>
        <v/>
      </c>
    </row>
    <row r="528" spans="1:9" x14ac:dyDescent="0.2">
      <c r="A528" t="s">
        <v>26</v>
      </c>
      <c r="B528" t="str">
        <f>'PVC Presión'!A4</f>
        <v>Conducción Fluidos</v>
      </c>
      <c r="C528" t="str">
        <f>'PVC Presión'!B4</f>
        <v>PVC PRESION / HIDRÁULICO</v>
      </c>
      <c r="D528">
        <f>'PVC Presión'!F4</f>
        <v>15003</v>
      </c>
      <c r="E528" t="str">
        <f>'PVC Presión'!G4</f>
        <v>PVC PRE TUBO 6M 25 PN12,5 N</v>
      </c>
      <c r="F528">
        <f>'PVC Presión'!H4</f>
        <v>20</v>
      </c>
      <c r="G528" t="str">
        <f>'PVC Presión'!I4</f>
        <v>Bolsa</v>
      </c>
      <c r="H528">
        <f>IFERROR(IF('PVC Presión'!J4="",0,'PVC Presión'!J4),0)</f>
        <v>0</v>
      </c>
      <c r="I528" s="58" t="str">
        <f>IF(H528&gt;0, MAX(I$1:I527)+1, "")</f>
        <v/>
      </c>
    </row>
    <row r="529" spans="1:9" x14ac:dyDescent="0.2">
      <c r="A529" t="s">
        <v>26</v>
      </c>
      <c r="B529" t="str">
        <f>'PVC Presión'!A5</f>
        <v>Conducción Fluidos</v>
      </c>
      <c r="C529" t="str">
        <f>'PVC Presión'!B5</f>
        <v>PVC PRESION / HIDRÁULICO</v>
      </c>
      <c r="D529">
        <f>'PVC Presión'!F5</f>
        <v>15004</v>
      </c>
      <c r="E529" t="str">
        <f>'PVC Presión'!G5</f>
        <v>PVC PRE TUBO 6M 32 PN10 N</v>
      </c>
      <c r="F529">
        <f>'PVC Presión'!H5</f>
        <v>10</v>
      </c>
      <c r="G529" t="str">
        <f>'PVC Presión'!I5</f>
        <v>Bolsa</v>
      </c>
      <c r="H529">
        <f>IFERROR(IF('PVC Presión'!J5="",0,'PVC Presión'!J5),0)</f>
        <v>0</v>
      </c>
      <c r="I529" s="58" t="str">
        <f>IF(H529&gt;0, MAX(I$1:I528)+1, "")</f>
        <v/>
      </c>
    </row>
    <row r="530" spans="1:9" x14ac:dyDescent="0.2">
      <c r="A530" t="s">
        <v>26</v>
      </c>
      <c r="B530" t="str">
        <f>'PVC Presión'!A6</f>
        <v>Conducción Fluidos</v>
      </c>
      <c r="C530" t="str">
        <f>'PVC Presión'!B6</f>
        <v>PVC PRESION / HIDRÁULICO</v>
      </c>
      <c r="D530">
        <f>'PVC Presión'!F6</f>
        <v>15005</v>
      </c>
      <c r="E530" t="str">
        <f>'PVC Presión'!G6</f>
        <v>PVC PRE TUBO 6M 40 PN10 N</v>
      </c>
      <c r="F530">
        <f>'PVC Presión'!H6</f>
        <v>1</v>
      </c>
      <c r="G530" t="str">
        <f>'PVC Presión'!I6</f>
        <v>Unitario</v>
      </c>
      <c r="H530">
        <f>IFERROR(IF('PVC Presión'!J6="",0,'PVC Presión'!J6),0)</f>
        <v>0</v>
      </c>
      <c r="I530" s="58" t="str">
        <f>IF(H530&gt;0, MAX(I$1:I529)+1, "")</f>
        <v/>
      </c>
    </row>
    <row r="531" spans="1:9" x14ac:dyDescent="0.2">
      <c r="A531" t="s">
        <v>26</v>
      </c>
      <c r="B531" t="str">
        <f>'PVC Presión'!A7</f>
        <v>Conducción Fluidos</v>
      </c>
      <c r="C531" t="str">
        <f>'PVC Presión'!B7</f>
        <v>PVC PRESION / HIDRÁULICO</v>
      </c>
      <c r="D531">
        <f>'PVC Presión'!F7</f>
        <v>15006</v>
      </c>
      <c r="E531" t="str">
        <f>'PVC Presión'!G7</f>
        <v>PVC PRE TUBO 6M 50 PN10 N</v>
      </c>
      <c r="F531">
        <f>'PVC Presión'!H7</f>
        <v>1</v>
      </c>
      <c r="G531" t="str">
        <f>'PVC Presión'!I7</f>
        <v>Unitario</v>
      </c>
      <c r="H531">
        <f>IFERROR(IF('PVC Presión'!J7="",0,'PVC Presión'!J7),0)</f>
        <v>0</v>
      </c>
      <c r="I531" s="58" t="str">
        <f>IF(H531&gt;0, MAX(I$1:I530)+1, "")</f>
        <v/>
      </c>
    </row>
    <row r="532" spans="1:9" x14ac:dyDescent="0.2">
      <c r="A532" t="s">
        <v>26</v>
      </c>
      <c r="B532" t="str">
        <f>'PVC Presión'!A8</f>
        <v>Conducción Fluidos</v>
      </c>
      <c r="C532" t="str">
        <f>'PVC Presión'!B8</f>
        <v>PVC PRESION / HIDRÁULICO</v>
      </c>
      <c r="D532">
        <f>'PVC Presión'!F8</f>
        <v>15007</v>
      </c>
      <c r="E532" t="str">
        <f>'PVC Presión'!G8</f>
        <v>PVC PRE TUBO 6M 63 PN10 N</v>
      </c>
      <c r="F532">
        <f>'PVC Presión'!H8</f>
        <v>1</v>
      </c>
      <c r="G532" t="str">
        <f>'PVC Presión'!I8</f>
        <v>Unitario</v>
      </c>
      <c r="H532">
        <f>IFERROR(IF('PVC Presión'!J8="",0,'PVC Presión'!J8),0)</f>
        <v>0</v>
      </c>
      <c r="I532" s="58" t="str">
        <f>IF(H532&gt;0, MAX(I$1:I531)+1, "")</f>
        <v/>
      </c>
    </row>
    <row r="533" spans="1:9" x14ac:dyDescent="0.2">
      <c r="A533" t="s">
        <v>26</v>
      </c>
      <c r="B533" t="str">
        <f>'PVC Presión'!A9</f>
        <v>Conducción Fluidos</v>
      </c>
      <c r="C533" t="str">
        <f>'PVC Presión'!B9</f>
        <v>PVC PRESION / HIDRÁULICO</v>
      </c>
      <c r="D533">
        <f>'PVC Presión'!F9</f>
        <v>15008</v>
      </c>
      <c r="E533" t="str">
        <f>'PVC Presión'!G9</f>
        <v>PVC PRE TUBO 6M 75 PN10 N</v>
      </c>
      <c r="F533">
        <f>'PVC Presión'!H9</f>
        <v>1</v>
      </c>
      <c r="G533" t="str">
        <f>'PVC Presión'!I9</f>
        <v>Unitario</v>
      </c>
      <c r="H533">
        <f>IFERROR(IF('PVC Presión'!J9="",0,'PVC Presión'!J9),0)</f>
        <v>0</v>
      </c>
      <c r="I533" s="58" t="str">
        <f>IF(H533&gt;0, MAX(I$1:I532)+1, "")</f>
        <v/>
      </c>
    </row>
    <row r="534" spans="1:9" x14ac:dyDescent="0.2">
      <c r="A534" t="s">
        <v>26</v>
      </c>
      <c r="B534" t="str">
        <f>'PVC Presión'!A10</f>
        <v>Conducción Fluidos</v>
      </c>
      <c r="C534" t="str">
        <f>'PVC Presión'!B10</f>
        <v>PVC PRESION / HIDRÁULICO</v>
      </c>
      <c r="D534">
        <f>'PVC Presión'!F10</f>
        <v>15009</v>
      </c>
      <c r="E534" t="str">
        <f>'PVC Presión'!G10</f>
        <v>PVC PRE TUBO 6M 90 PN10 N</v>
      </c>
      <c r="F534">
        <f>'PVC Presión'!H10</f>
        <v>1</v>
      </c>
      <c r="G534" t="str">
        <f>'PVC Presión'!I10</f>
        <v>Unitario</v>
      </c>
      <c r="H534">
        <f>IFERROR(IF('PVC Presión'!J10="",0,'PVC Presión'!J10),0)</f>
        <v>0</v>
      </c>
      <c r="I534" s="58" t="str">
        <f>IF(H534&gt;0, MAX(I$1:I533)+1, "")</f>
        <v/>
      </c>
    </row>
    <row r="535" spans="1:9" x14ac:dyDescent="0.2">
      <c r="A535" t="s">
        <v>26</v>
      </c>
      <c r="B535" t="str">
        <f>'PVC Presión'!A11</f>
        <v>Conducción Fluidos</v>
      </c>
      <c r="C535" t="str">
        <f>'PVC Presión'!B11</f>
        <v>PVC PRESION / HIDRÁULICO</v>
      </c>
      <c r="D535">
        <f>'PVC Presión'!F11</f>
        <v>15010</v>
      </c>
      <c r="E535" t="str">
        <f>'PVC Presión'!G11</f>
        <v>PVC PRE TUBO 6M 110 PN10 N</v>
      </c>
      <c r="F535">
        <f>'PVC Presión'!H11</f>
        <v>1</v>
      </c>
      <c r="G535" t="str">
        <f>'PVC Presión'!I11</f>
        <v>Unitario</v>
      </c>
      <c r="H535">
        <f>IFERROR(IF('PVC Presión'!J11="",0,'PVC Presión'!J11),0)</f>
        <v>0</v>
      </c>
      <c r="I535" s="58" t="str">
        <f>IF(H535&gt;0, MAX(I$1:I534)+1, "")</f>
        <v/>
      </c>
    </row>
    <row r="536" spans="1:9" x14ac:dyDescent="0.2">
      <c r="A536" t="s">
        <v>26</v>
      </c>
      <c r="B536" t="str">
        <f>'PVC Presión'!A12</f>
        <v>Conducción Fluidos</v>
      </c>
      <c r="C536" t="str">
        <f>'PVC Presión'!B12</f>
        <v>PVC PRESION / HIDRÁULICO</v>
      </c>
      <c r="D536">
        <f>'PVC Presión'!F12</f>
        <v>15011</v>
      </c>
      <c r="E536" t="str">
        <f>'PVC Presión'!G12</f>
        <v>PVC PRE TUBO 6M 125 PN10 N</v>
      </c>
      <c r="F536">
        <f>'PVC Presión'!H12</f>
        <v>1</v>
      </c>
      <c r="G536" t="str">
        <f>'PVC Presión'!I12</f>
        <v>Unitario</v>
      </c>
      <c r="H536">
        <f>IFERROR(IF('PVC Presión'!J12="",0,'PVC Presión'!J12),0)</f>
        <v>0</v>
      </c>
      <c r="I536" s="58" t="str">
        <f>IF(H536&gt;0, MAX(I$1:I535)+1, "")</f>
        <v/>
      </c>
    </row>
    <row r="537" spans="1:9" x14ac:dyDescent="0.2">
      <c r="A537" t="s">
        <v>26</v>
      </c>
      <c r="B537" t="str">
        <f>'PVC Presión'!A13</f>
        <v>Conducción Fluidos</v>
      </c>
      <c r="C537" t="str">
        <f>'PVC Presión'!B13</f>
        <v>PVC PRESION / HIDRÁULICO</v>
      </c>
      <c r="D537">
        <f>'PVC Presión'!F13</f>
        <v>15012</v>
      </c>
      <c r="E537" t="str">
        <f>'PVC Presión'!G13</f>
        <v>PVC PRE TUBO 6M 160 PN10 N</v>
      </c>
      <c r="F537">
        <f>'PVC Presión'!H13</f>
        <v>1</v>
      </c>
      <c r="G537" t="str">
        <f>'PVC Presión'!I13</f>
        <v>Unitario</v>
      </c>
      <c r="H537">
        <f>IFERROR(IF('PVC Presión'!J13="",0,'PVC Presión'!J13),0)</f>
        <v>0</v>
      </c>
      <c r="I537" s="58" t="str">
        <f>IF(H537&gt;0, MAX(I$1:I536)+1, "")</f>
        <v/>
      </c>
    </row>
    <row r="538" spans="1:9" x14ac:dyDescent="0.2">
      <c r="A538" t="s">
        <v>26</v>
      </c>
      <c r="B538" t="str">
        <f>'PVC Presión'!A14</f>
        <v>Conducción Fluidos</v>
      </c>
      <c r="C538" t="str">
        <f>'PVC Presión'!B14</f>
        <v>PVC PRESION / HIDRÁULICO</v>
      </c>
      <c r="D538">
        <f>'PVC Presión'!F14</f>
        <v>15102</v>
      </c>
      <c r="E538" t="str">
        <f>'PVC Presión'!G14</f>
        <v>PVC PRE TUBO 3M 20 PN16 N</v>
      </c>
      <c r="F538">
        <f>'PVC Presión'!H14</f>
        <v>20</v>
      </c>
      <c r="G538" t="str">
        <f>'PVC Presión'!I14</f>
        <v>Bolsa</v>
      </c>
      <c r="H538">
        <f>IFERROR(IF('PVC Presión'!J14="",0,'PVC Presión'!J14),0)</f>
        <v>0</v>
      </c>
      <c r="I538" s="58" t="str">
        <f>IF(H538&gt;0, MAX(I$1:I537)+1, "")</f>
        <v/>
      </c>
    </row>
    <row r="539" spans="1:9" x14ac:dyDescent="0.2">
      <c r="A539" t="s">
        <v>26</v>
      </c>
      <c r="B539" t="str">
        <f>'PVC Presión'!A15</f>
        <v>Conducción Fluidos</v>
      </c>
      <c r="C539" t="str">
        <f>'PVC Presión'!B15</f>
        <v>PVC PRESION / HIDRÁULICO</v>
      </c>
      <c r="D539">
        <f>'PVC Presión'!F15</f>
        <v>15103</v>
      </c>
      <c r="E539" t="str">
        <f>'PVC Presión'!G15</f>
        <v>PVC PRE TUBO 3M 25 PN12,5 N</v>
      </c>
      <c r="F539">
        <f>'PVC Presión'!H15</f>
        <v>20</v>
      </c>
      <c r="G539" t="str">
        <f>'PVC Presión'!I15</f>
        <v>Bolsa</v>
      </c>
      <c r="H539">
        <f>IFERROR(IF('PVC Presión'!J15="",0,'PVC Presión'!J15),0)</f>
        <v>0</v>
      </c>
      <c r="I539" s="58" t="str">
        <f>IF(H539&gt;0, MAX(I$1:I538)+1, "")</f>
        <v/>
      </c>
    </row>
    <row r="540" spans="1:9" x14ac:dyDescent="0.2">
      <c r="A540" t="s">
        <v>26</v>
      </c>
      <c r="B540" t="str">
        <f>'PVC Presión'!A16</f>
        <v>Conducción Fluidos</v>
      </c>
      <c r="C540" t="str">
        <f>'PVC Presión'!B16</f>
        <v>PVC PRESION / HIDRÁULICO</v>
      </c>
      <c r="D540">
        <f>'PVC Presión'!F16</f>
        <v>15104</v>
      </c>
      <c r="E540" t="str">
        <f>'PVC Presión'!G16</f>
        <v>PVC PRE TUBO 3M 32 PN10 N</v>
      </c>
      <c r="F540">
        <f>'PVC Presión'!H16</f>
        <v>10</v>
      </c>
      <c r="G540" t="str">
        <f>'PVC Presión'!I16</f>
        <v>Bolsa</v>
      </c>
      <c r="H540">
        <f>IFERROR(IF('PVC Presión'!J16="",0,'PVC Presión'!J16),0)</f>
        <v>0</v>
      </c>
      <c r="I540" s="58" t="str">
        <f>IF(H540&gt;0, MAX(I$1:I539)+1, "")</f>
        <v/>
      </c>
    </row>
    <row r="541" spans="1:9" x14ac:dyDescent="0.2">
      <c r="A541" t="s">
        <v>26</v>
      </c>
      <c r="B541" t="str">
        <f>'PVC Presión'!A17</f>
        <v>Conducción Fluidos</v>
      </c>
      <c r="C541" t="str">
        <f>'PVC Presión'!B17</f>
        <v>PVC PRESION / HIDRÁULICO</v>
      </c>
      <c r="D541">
        <f>'PVC Presión'!F17</f>
        <v>15105</v>
      </c>
      <c r="E541" t="str">
        <f>'PVC Presión'!G17</f>
        <v>PVC PRE TUBO 3M 40 PN10 N</v>
      </c>
      <c r="F541">
        <f>'PVC Presión'!H17</f>
        <v>1</v>
      </c>
      <c r="G541" t="str">
        <f>'PVC Presión'!I17</f>
        <v>Unitario</v>
      </c>
      <c r="H541">
        <f>IFERROR(IF('PVC Presión'!J17="",0,'PVC Presión'!J17),0)</f>
        <v>0</v>
      </c>
      <c r="I541" s="58" t="str">
        <f>IF(H541&gt;0, MAX(I$1:I540)+1, "")</f>
        <v/>
      </c>
    </row>
    <row r="542" spans="1:9" x14ac:dyDescent="0.2">
      <c r="A542" t="s">
        <v>26</v>
      </c>
      <c r="B542" t="str">
        <f>'PVC Presión'!A18</f>
        <v>Conducción Fluidos</v>
      </c>
      <c r="C542" t="str">
        <f>'PVC Presión'!B18</f>
        <v>PVC PRESION / HIDRÁULICO</v>
      </c>
      <c r="D542">
        <f>'PVC Presión'!F18</f>
        <v>15106</v>
      </c>
      <c r="E542" t="str">
        <f>'PVC Presión'!G18</f>
        <v>PVC PRE TUBO 3M 50 PN10 N</v>
      </c>
      <c r="F542">
        <f>'PVC Presión'!H18</f>
        <v>1</v>
      </c>
      <c r="G542" t="str">
        <f>'PVC Presión'!I18</f>
        <v>Unitario</v>
      </c>
      <c r="H542">
        <f>IFERROR(IF('PVC Presión'!J18="",0,'PVC Presión'!J18),0)</f>
        <v>0</v>
      </c>
      <c r="I542" s="58" t="str">
        <f>IF(H542&gt;0, MAX(I$1:I541)+1, "")</f>
        <v/>
      </c>
    </row>
    <row r="543" spans="1:9" x14ac:dyDescent="0.2">
      <c r="A543" t="s">
        <v>26</v>
      </c>
      <c r="B543" t="str">
        <f>'PVC Presión'!A19</f>
        <v>Conducción Fluidos</v>
      </c>
      <c r="C543" t="str">
        <f>'PVC Presión'!B19</f>
        <v>PVC PRESION / HIDRÁULICO</v>
      </c>
      <c r="D543">
        <f>'PVC Presión'!F19</f>
        <v>15202</v>
      </c>
      <c r="E543" t="str">
        <f>'PVC Presión'!G19</f>
        <v>PVC PRE TUBO 1M 20 PN16 N</v>
      </c>
      <c r="F543">
        <f>'PVC Presión'!H19</f>
        <v>20</v>
      </c>
      <c r="G543" t="str">
        <f>'PVC Presión'!I19</f>
        <v>Bolsa</v>
      </c>
      <c r="H543">
        <f>IFERROR(IF('PVC Presión'!J19="",0,'PVC Presión'!J19),0)</f>
        <v>0</v>
      </c>
      <c r="I543" s="58" t="str">
        <f>IF(H543&gt;0, MAX(I$1:I542)+1, "")</f>
        <v/>
      </c>
    </row>
    <row r="544" spans="1:9" x14ac:dyDescent="0.2">
      <c r="A544" t="s">
        <v>26</v>
      </c>
      <c r="B544" t="str">
        <f>'PVC Presión'!A20</f>
        <v>Conducción Fluidos</v>
      </c>
      <c r="C544" t="str">
        <f>'PVC Presión'!B20</f>
        <v>PVC PRESION / HIDRÁULICO</v>
      </c>
      <c r="D544">
        <f>'PVC Presión'!F20</f>
        <v>15203</v>
      </c>
      <c r="E544" t="str">
        <f>'PVC Presión'!G20</f>
        <v>PVC PRE TUBO 1M 25 PN12,5 N</v>
      </c>
      <c r="F544">
        <f>'PVC Presión'!H20</f>
        <v>20</v>
      </c>
      <c r="G544" t="str">
        <f>'PVC Presión'!I20</f>
        <v>Bolsa</v>
      </c>
      <c r="H544">
        <f>IFERROR(IF('PVC Presión'!J20="",0,'PVC Presión'!J20),0)</f>
        <v>0</v>
      </c>
      <c r="I544" s="58" t="str">
        <f>IF(H544&gt;0, MAX(I$1:I543)+1, "")</f>
        <v/>
      </c>
    </row>
    <row r="545" spans="1:9" x14ac:dyDescent="0.2">
      <c r="A545" t="s">
        <v>26</v>
      </c>
      <c r="B545" t="str">
        <f>'PVC Presión'!A21</f>
        <v>Conducción Fluidos</v>
      </c>
      <c r="C545" t="str">
        <f>'PVC Presión'!B21</f>
        <v>PVC PRESION / HIDRÁULICO</v>
      </c>
      <c r="D545">
        <f>'PVC Presión'!F21</f>
        <v>15204</v>
      </c>
      <c r="E545" t="str">
        <f>'PVC Presión'!G21</f>
        <v>PVC PRE TUBO 1M 32 PN10 N</v>
      </c>
      <c r="F545">
        <f>'PVC Presión'!H21</f>
        <v>10</v>
      </c>
      <c r="G545" t="str">
        <f>'PVC Presión'!I21</f>
        <v>Bolsa</v>
      </c>
      <c r="H545">
        <f>IFERROR(IF('PVC Presión'!J21="",0,'PVC Presión'!J21),0)</f>
        <v>0</v>
      </c>
      <c r="I545" s="58" t="str">
        <f>IF(H545&gt;0, MAX(I$1:I544)+1, "")</f>
        <v/>
      </c>
    </row>
    <row r="546" spans="1:9" x14ac:dyDescent="0.2">
      <c r="A546" t="s">
        <v>26</v>
      </c>
      <c r="B546" t="str">
        <f>'PVC Presión'!A22</f>
        <v>Conducción Fluidos</v>
      </c>
      <c r="C546" t="str">
        <f>'PVC Presión'!B22</f>
        <v>PVC PRESION / HIDRÁULICO</v>
      </c>
      <c r="D546">
        <f>'PVC Presión'!F22</f>
        <v>15205</v>
      </c>
      <c r="E546" t="str">
        <f>'PVC Presión'!G22</f>
        <v>PVC PRE TUBO 1M 40 PN10 N</v>
      </c>
      <c r="F546">
        <f>'PVC Presión'!H22</f>
        <v>1</v>
      </c>
      <c r="G546" t="str">
        <f>'PVC Presión'!I22</f>
        <v>Unitario</v>
      </c>
      <c r="H546">
        <f>IFERROR(IF('PVC Presión'!J22="",0,'PVC Presión'!J22),0)</f>
        <v>0</v>
      </c>
      <c r="I546" s="58" t="str">
        <f>IF(H546&gt;0, MAX(I$1:I545)+1, "")</f>
        <v/>
      </c>
    </row>
    <row r="547" spans="1:9" x14ac:dyDescent="0.2">
      <c r="A547" t="s">
        <v>26</v>
      </c>
      <c r="B547" t="str">
        <f>'PVC Presión'!A23</f>
        <v>Conducción Fluidos</v>
      </c>
      <c r="C547" t="str">
        <f>'PVC Presión'!B23</f>
        <v>PVC PRESION / HIDRÁULICO</v>
      </c>
      <c r="D547">
        <f>'PVC Presión'!F23</f>
        <v>15206</v>
      </c>
      <c r="E547" t="str">
        <f>'PVC Presión'!G23</f>
        <v>PVC PRE TUBO 1M 50 PN10 N</v>
      </c>
      <c r="F547">
        <f>'PVC Presión'!H23</f>
        <v>1</v>
      </c>
      <c r="G547" t="str">
        <f>'PVC Presión'!I23</f>
        <v>Unitario</v>
      </c>
      <c r="H547">
        <f>IFERROR(IF('PVC Presión'!J23="",0,'PVC Presión'!J23),0)</f>
        <v>0</v>
      </c>
      <c r="I547" s="58" t="str">
        <f>IF(H547&gt;0, MAX(I$1:I546)+1, "")</f>
        <v/>
      </c>
    </row>
    <row r="548" spans="1:9" x14ac:dyDescent="0.2">
      <c r="A548" t="s">
        <v>26</v>
      </c>
      <c r="B548" t="str">
        <f>'PVC Presión'!A24</f>
        <v>Conducción Fluidos</v>
      </c>
      <c r="C548" t="str">
        <f>'PVC Presión'!B24</f>
        <v>PVC PRESION / HIDRÁULICO</v>
      </c>
      <c r="D548">
        <f>'PVC Presión'!F24</f>
        <v>15045</v>
      </c>
      <c r="E548" t="str">
        <f>'PVC Presión'!G24</f>
        <v>PVC PRE TUBO 6M 40 PN6 N</v>
      </c>
      <c r="F548">
        <f>'PVC Presión'!H24</f>
        <v>1</v>
      </c>
      <c r="G548" t="str">
        <f>'PVC Presión'!I24</f>
        <v>Unitario</v>
      </c>
      <c r="H548">
        <f>IFERROR(IF('PVC Presión'!J24="",0,'PVC Presión'!J24),0)</f>
        <v>0</v>
      </c>
      <c r="I548" s="58" t="str">
        <f>IF(H548&gt;0, MAX(I$1:I547)+1, "")</f>
        <v/>
      </c>
    </row>
    <row r="549" spans="1:9" x14ac:dyDescent="0.2">
      <c r="A549" t="s">
        <v>26</v>
      </c>
      <c r="B549" t="str">
        <f>'PVC Presión'!A25</f>
        <v>Conducción Fluidos</v>
      </c>
      <c r="C549" t="str">
        <f>'PVC Presión'!B25</f>
        <v>PVC PRESION / HIDRÁULICO</v>
      </c>
      <c r="D549">
        <f>'PVC Presión'!F25</f>
        <v>15046</v>
      </c>
      <c r="E549" t="str">
        <f>'PVC Presión'!G25</f>
        <v>PVC PRE TUBO 6M 50 PN6 N</v>
      </c>
      <c r="F549">
        <f>'PVC Presión'!H25</f>
        <v>1</v>
      </c>
      <c r="G549" t="str">
        <f>'PVC Presión'!I25</f>
        <v>Unitario</v>
      </c>
      <c r="H549">
        <f>IFERROR(IF('PVC Presión'!J25="",0,'PVC Presión'!J25),0)</f>
        <v>0</v>
      </c>
      <c r="I549" s="58" t="str">
        <f>IF(H549&gt;0, MAX(I$1:I548)+1, "")</f>
        <v/>
      </c>
    </row>
    <row r="550" spans="1:9" x14ac:dyDescent="0.2">
      <c r="A550" t="s">
        <v>26</v>
      </c>
      <c r="B550" t="str">
        <f>'PVC Presión'!A26</f>
        <v>Conducción Fluidos</v>
      </c>
      <c r="C550" t="str">
        <f>'PVC Presión'!B26</f>
        <v>PVC PRESION / HIDRÁULICO</v>
      </c>
      <c r="D550">
        <f>'PVC Presión'!F26</f>
        <v>15047</v>
      </c>
      <c r="E550" t="str">
        <f>'PVC Presión'!G26</f>
        <v>PVC PRE TUBO 6M 63 PN6 N</v>
      </c>
      <c r="F550">
        <f>'PVC Presión'!H26</f>
        <v>1</v>
      </c>
      <c r="G550" t="str">
        <f>'PVC Presión'!I26</f>
        <v>Unitario</v>
      </c>
      <c r="H550">
        <f>IFERROR(IF('PVC Presión'!J26="",0,'PVC Presión'!J26),0)</f>
        <v>0</v>
      </c>
      <c r="I550" s="58" t="str">
        <f>IF(H550&gt;0, MAX(I$1:I549)+1, "")</f>
        <v/>
      </c>
    </row>
    <row r="551" spans="1:9" x14ac:dyDescent="0.2">
      <c r="A551" t="s">
        <v>26</v>
      </c>
      <c r="B551" t="str">
        <f>'PVC Presión'!A27</f>
        <v>Conducción Fluidos</v>
      </c>
      <c r="C551" t="str">
        <f>'PVC Presión'!B27</f>
        <v>PVC PRESION / HIDRÁULICO</v>
      </c>
      <c r="D551">
        <f>'PVC Presión'!F27</f>
        <v>15048</v>
      </c>
      <c r="E551" t="str">
        <f>'PVC Presión'!G27</f>
        <v>PVC PRE TUBO 6M 75 PN6 N</v>
      </c>
      <c r="F551">
        <f>'PVC Presión'!H27</f>
        <v>1</v>
      </c>
      <c r="G551" t="str">
        <f>'PVC Presión'!I27</f>
        <v>Unitario</v>
      </c>
      <c r="H551">
        <f>IFERROR(IF('PVC Presión'!J27="",0,'PVC Presión'!J27),0)</f>
        <v>0</v>
      </c>
      <c r="I551" s="58" t="str">
        <f>IF(H551&gt;0, MAX(I$1:I550)+1, "")</f>
        <v/>
      </c>
    </row>
    <row r="552" spans="1:9" x14ac:dyDescent="0.2">
      <c r="A552" t="s">
        <v>26</v>
      </c>
      <c r="B552" t="str">
        <f>'PVC Presión'!A28</f>
        <v>Conducción Fluidos</v>
      </c>
      <c r="C552" t="str">
        <f>'PVC Presión'!B28</f>
        <v>PVC PRESION / HIDRÁULICO</v>
      </c>
      <c r="D552">
        <f>'PVC Presión'!F28</f>
        <v>15049</v>
      </c>
      <c r="E552" t="str">
        <f>'PVC Presión'!G28</f>
        <v>PVC PRE TUBO 6M 90 PN6 N</v>
      </c>
      <c r="F552">
        <f>'PVC Presión'!H28</f>
        <v>1</v>
      </c>
      <c r="G552" t="str">
        <f>'PVC Presión'!I28</f>
        <v>Unitario</v>
      </c>
      <c r="H552">
        <f>IFERROR(IF('PVC Presión'!J28="",0,'PVC Presión'!J28),0)</f>
        <v>0</v>
      </c>
      <c r="I552" s="58" t="str">
        <f>IF(H552&gt;0, MAX(I$1:I551)+1, "")</f>
        <v/>
      </c>
    </row>
    <row r="553" spans="1:9" x14ac:dyDescent="0.2">
      <c r="A553" t="s">
        <v>26</v>
      </c>
      <c r="B553" t="str">
        <f>'PVC Presión'!A29</f>
        <v>Conducción Fluidos</v>
      </c>
      <c r="C553" t="str">
        <f>'PVC Presión'!B29</f>
        <v>PVC PRESION / HIDRÁULICO</v>
      </c>
      <c r="D553">
        <f>'PVC Presión'!F29</f>
        <v>15050</v>
      </c>
      <c r="E553" t="str">
        <f>'PVC Presión'!G29</f>
        <v>PVC PRE TUBO 6M 110 PN6 N</v>
      </c>
      <c r="F553">
        <f>'PVC Presión'!H29</f>
        <v>1</v>
      </c>
      <c r="G553" t="str">
        <f>'PVC Presión'!I29</f>
        <v>Unitario</v>
      </c>
      <c r="H553">
        <f>IFERROR(IF('PVC Presión'!J29="",0,'PVC Presión'!J29),0)</f>
        <v>0</v>
      </c>
      <c r="I553" s="58" t="str">
        <f>IF(H553&gt;0, MAX(I$1:I552)+1, "")</f>
        <v/>
      </c>
    </row>
    <row r="554" spans="1:9" x14ac:dyDescent="0.2">
      <c r="A554" t="s">
        <v>26</v>
      </c>
      <c r="B554" t="str">
        <f>'PVC Presión'!A30</f>
        <v>Conducción Fluidos</v>
      </c>
      <c r="C554" t="str">
        <f>'PVC Presión'!B30</f>
        <v>PVC PRESION / HIDRÁULICO</v>
      </c>
      <c r="D554">
        <f>'PVC Presión'!F30</f>
        <v>15051</v>
      </c>
      <c r="E554" t="str">
        <f>'PVC Presión'!G30</f>
        <v>PVC PRE TUBO 6M 125 PN6 N</v>
      </c>
      <c r="F554">
        <f>'PVC Presión'!H30</f>
        <v>1</v>
      </c>
      <c r="G554" t="str">
        <f>'PVC Presión'!I30</f>
        <v>Unitario</v>
      </c>
      <c r="H554">
        <f>IFERROR(IF('PVC Presión'!J30="",0,'PVC Presión'!J30),0)</f>
        <v>0</v>
      </c>
      <c r="I554" s="58" t="str">
        <f>IF(H554&gt;0, MAX(I$1:I553)+1, "")</f>
        <v/>
      </c>
    </row>
    <row r="555" spans="1:9" x14ac:dyDescent="0.2">
      <c r="A555" t="s">
        <v>26</v>
      </c>
      <c r="B555" t="str">
        <f>'PVC Presión'!A31</f>
        <v>Conducción Fluidos</v>
      </c>
      <c r="C555" t="str">
        <f>'PVC Presión'!B31</f>
        <v>PVC PRESION / HIDRÁULICO</v>
      </c>
      <c r="D555">
        <f>'PVC Presión'!F31</f>
        <v>15052</v>
      </c>
      <c r="E555" t="str">
        <f>'PVC Presión'!G31</f>
        <v>PVC PRE TUBO 6M 140 PN6 N</v>
      </c>
      <c r="F555">
        <f>'PVC Presión'!H31</f>
        <v>1</v>
      </c>
      <c r="G555" t="str">
        <f>'PVC Presión'!I31</f>
        <v>Unitario</v>
      </c>
      <c r="H555">
        <f>IFERROR(IF('PVC Presión'!J31="",0,'PVC Presión'!J31),0)</f>
        <v>0</v>
      </c>
      <c r="I555" s="58" t="str">
        <f>IF(H555&gt;0, MAX(I$1:I554)+1, "")</f>
        <v/>
      </c>
    </row>
    <row r="556" spans="1:9" x14ac:dyDescent="0.2">
      <c r="A556" t="s">
        <v>26</v>
      </c>
      <c r="B556" t="str">
        <f>'PVC Presión'!A32</f>
        <v>Conducción Fluidos</v>
      </c>
      <c r="C556" t="str">
        <f>'PVC Presión'!B32</f>
        <v>PVC PRESION / HIDRÁULICO</v>
      </c>
      <c r="D556">
        <f>'PVC Presión'!F32</f>
        <v>15053</v>
      </c>
      <c r="E556" t="str">
        <f>'PVC Presión'!G32</f>
        <v>PVC PRE TUBO 6M 160 PN6 N</v>
      </c>
      <c r="F556">
        <f>'PVC Presión'!H32</f>
        <v>1</v>
      </c>
      <c r="G556" t="str">
        <f>'PVC Presión'!I32</f>
        <v>Unitario</v>
      </c>
      <c r="H556">
        <f>IFERROR(IF('PVC Presión'!J32="",0,'PVC Presión'!J32),0)</f>
        <v>0</v>
      </c>
      <c r="I556" s="58" t="str">
        <f>IF(H556&gt;0, MAX(I$1:I555)+1, "")</f>
        <v/>
      </c>
    </row>
    <row r="557" spans="1:9" x14ac:dyDescent="0.2">
      <c r="A557" t="s">
        <v>26</v>
      </c>
      <c r="B557" t="str">
        <f>'PVC Presión'!A33</f>
        <v>Conducción Fluidos</v>
      </c>
      <c r="C557" t="str">
        <f>'PVC Presión'!B33</f>
        <v>PVC PRESION / HIDRÁULICO</v>
      </c>
      <c r="D557">
        <f>'PVC Presión'!F33</f>
        <v>15054</v>
      </c>
      <c r="E557" t="str">
        <f>'PVC Presión'!G33</f>
        <v>PVC PRE TUBO 6M 200 PN6 N</v>
      </c>
      <c r="F557">
        <f>'PVC Presión'!H33</f>
        <v>1</v>
      </c>
      <c r="G557" t="str">
        <f>'PVC Presión'!I33</f>
        <v>Unitario</v>
      </c>
      <c r="H557">
        <f>IFERROR(IF('PVC Presión'!J33="",0,'PVC Presión'!J33),0)</f>
        <v>0</v>
      </c>
      <c r="I557" s="58" t="str">
        <f>IF(H557&gt;0, MAX(I$1:I556)+1, "")</f>
        <v/>
      </c>
    </row>
    <row r="558" spans="1:9" x14ac:dyDescent="0.2">
      <c r="A558" t="s">
        <v>26</v>
      </c>
      <c r="B558" t="str">
        <f>'PVC Presión'!A34</f>
        <v>Conducción Fluidos</v>
      </c>
      <c r="C558" t="str">
        <f>'PVC Presión'!B34</f>
        <v>PVC PRESION / HIDRÁULICO</v>
      </c>
      <c r="D558">
        <f>'PVC Presión'!F34</f>
        <v>351901</v>
      </c>
      <c r="E558" t="str">
        <f>'PVC Presión'!G34</f>
        <v>PVC PRE LL/V VALVULA BOLA 20 I</v>
      </c>
      <c r="F558">
        <f>'PVC Presión'!H34</f>
        <v>10</v>
      </c>
      <c r="G558" t="str">
        <f>'PVC Presión'!I34</f>
        <v>Bolsa</v>
      </c>
      <c r="H558">
        <f>IFERROR(IF('PVC Presión'!J34="",0,'PVC Presión'!J34),0)</f>
        <v>0</v>
      </c>
      <c r="I558" s="58" t="str">
        <f>IF(H558&gt;0, MAX(I$1:I557)+1, "")</f>
        <v/>
      </c>
    </row>
    <row r="559" spans="1:9" x14ac:dyDescent="0.2">
      <c r="A559" t="s">
        <v>26</v>
      </c>
      <c r="B559" t="str">
        <f>'PVC Presión'!A35</f>
        <v>Conducción Fluidos</v>
      </c>
      <c r="C559" t="str">
        <f>'PVC Presión'!B35</f>
        <v>PVC PRESION / HIDRÁULICO</v>
      </c>
      <c r="D559">
        <f>'PVC Presión'!F35</f>
        <v>351902</v>
      </c>
      <c r="E559" t="str">
        <f>'PVC Presión'!G35</f>
        <v>PVC PRE LL/V VALVULA BOLA 25 I</v>
      </c>
      <c r="F559">
        <f>'PVC Presión'!H35</f>
        <v>10</v>
      </c>
      <c r="G559" t="str">
        <f>'PVC Presión'!I35</f>
        <v>Bolsa</v>
      </c>
      <c r="H559">
        <f>IFERROR(IF('PVC Presión'!J35="",0,'PVC Presión'!J35),0)</f>
        <v>0</v>
      </c>
      <c r="I559" s="58" t="str">
        <f>IF(H559&gt;0, MAX(I$1:I558)+1, "")</f>
        <v/>
      </c>
    </row>
    <row r="560" spans="1:9" x14ac:dyDescent="0.2">
      <c r="A560" t="s">
        <v>26</v>
      </c>
      <c r="B560" t="str">
        <f>'PVC Presión'!A36</f>
        <v>Conducción Fluidos</v>
      </c>
      <c r="C560" t="str">
        <f>'PVC Presión'!B36</f>
        <v>PVC PRESION / HIDRÁULICO</v>
      </c>
      <c r="D560">
        <f>'PVC Presión'!F36</f>
        <v>351903</v>
      </c>
      <c r="E560" t="str">
        <f>'PVC Presión'!G36</f>
        <v>PVC PRE LL/V VALVULA BOLA 32 I</v>
      </c>
      <c r="F560">
        <f>'PVC Presión'!H36</f>
        <v>10</v>
      </c>
      <c r="G560" t="str">
        <f>'PVC Presión'!I36</f>
        <v>Bolsa</v>
      </c>
      <c r="H560">
        <f>IFERROR(IF('PVC Presión'!J36="",0,'PVC Presión'!J36),0)</f>
        <v>0</v>
      </c>
      <c r="I560" s="58" t="str">
        <f>IF(H560&gt;0, MAX(I$1:I559)+1, "")</f>
        <v/>
      </c>
    </row>
    <row r="561" spans="1:9" x14ac:dyDescent="0.2">
      <c r="A561" t="s">
        <v>26</v>
      </c>
      <c r="B561" t="str">
        <f>'PVC Presión'!A37</f>
        <v>Conducción Fluidos</v>
      </c>
      <c r="C561" t="str">
        <f>'PVC Presión'!B37</f>
        <v>PVC PRESION / HIDRÁULICO</v>
      </c>
      <c r="D561">
        <f>'PVC Presión'!F37</f>
        <v>351904</v>
      </c>
      <c r="E561" t="str">
        <f>'PVC Presión'!G37</f>
        <v>PVC PRE LL/V VALVULA BOLA 40 I</v>
      </c>
      <c r="F561">
        <f>'PVC Presión'!H37</f>
        <v>5</v>
      </c>
      <c r="G561" t="str">
        <f>'PVC Presión'!I37</f>
        <v>Bolsa</v>
      </c>
      <c r="H561">
        <f>IFERROR(IF('PVC Presión'!J37="",0,'PVC Presión'!J37),0)</f>
        <v>0</v>
      </c>
      <c r="I561" s="58" t="str">
        <f>IF(H561&gt;0, MAX(I$1:I560)+1, "")</f>
        <v/>
      </c>
    </row>
    <row r="562" spans="1:9" x14ac:dyDescent="0.2">
      <c r="A562" t="s">
        <v>26</v>
      </c>
      <c r="B562" t="str">
        <f>'PVC Presión'!A38</f>
        <v>Conducción Fluidos</v>
      </c>
      <c r="C562" t="str">
        <f>'PVC Presión'!B38</f>
        <v>PVC PRESION / HIDRÁULICO</v>
      </c>
      <c r="D562">
        <f>'PVC Presión'!F38</f>
        <v>351905</v>
      </c>
      <c r="E562" t="str">
        <f>'PVC Presión'!G38</f>
        <v>PVC PRE LL/V VALVULA BOLA 50 I</v>
      </c>
      <c r="F562">
        <f>'PVC Presión'!H38</f>
        <v>5</v>
      </c>
      <c r="G562" t="str">
        <f>'PVC Presión'!I38</f>
        <v>Bolsa</v>
      </c>
      <c r="H562">
        <f>IFERROR(IF('PVC Presión'!J38="",0,'PVC Presión'!J38),0)</f>
        <v>0</v>
      </c>
      <c r="I562" s="58" t="str">
        <f>IF(H562&gt;0, MAX(I$1:I561)+1, "")</f>
        <v/>
      </c>
    </row>
    <row r="563" spans="1:9" x14ac:dyDescent="0.2">
      <c r="A563" t="s">
        <v>26</v>
      </c>
      <c r="B563" t="str">
        <f>'PVC Presión'!A39</f>
        <v>Conducción Fluidos</v>
      </c>
      <c r="C563" t="str">
        <f>'PVC Presión'!B39</f>
        <v>PVC PRESION / HIDRÁULICO</v>
      </c>
      <c r="D563">
        <f>'PVC Presión'!F39</f>
        <v>351906</v>
      </c>
      <c r="E563" t="str">
        <f>'PVC Presión'!G39</f>
        <v>PVC PRE LL/V VALVULA BOLA 63 I</v>
      </c>
      <c r="F563">
        <f>'PVC Presión'!H39</f>
        <v>4</v>
      </c>
      <c r="G563" t="str">
        <f>'PVC Presión'!I39</f>
        <v>Bolsa</v>
      </c>
      <c r="H563">
        <f>IFERROR(IF('PVC Presión'!J39="",0,'PVC Presión'!J39),0)</f>
        <v>0</v>
      </c>
      <c r="I563" s="58" t="str">
        <f>IF(H563&gt;0, MAX(I$1:I562)+1, "")</f>
        <v/>
      </c>
    </row>
    <row r="564" spans="1:9" x14ac:dyDescent="0.2">
      <c r="A564" t="s">
        <v>26</v>
      </c>
      <c r="B564" t="str">
        <f>'PVC Presión'!A40</f>
        <v>Conducción Fluidos</v>
      </c>
      <c r="C564" t="str">
        <f>'PVC Presión'!B40</f>
        <v>PVC PRESION / HIDRÁULICO</v>
      </c>
      <c r="D564">
        <f>'PVC Presión'!F40</f>
        <v>351931</v>
      </c>
      <c r="E564" t="str">
        <f>'PVC Presión'!G40</f>
        <v>PVC PRE LL/V VÁLVULA BOLA HI -HI 1/2</v>
      </c>
      <c r="F564">
        <f>'PVC Presión'!H40</f>
        <v>10</v>
      </c>
      <c r="G564" t="str">
        <f>'PVC Presión'!I40</f>
        <v>Bolsa</v>
      </c>
      <c r="H564">
        <f>IFERROR(IF('PVC Presión'!J40="",0,'PVC Presión'!J40),0)</f>
        <v>0</v>
      </c>
      <c r="I564" s="58" t="str">
        <f>IF(H564&gt;0, MAX(I$1:I563)+1, "")</f>
        <v/>
      </c>
    </row>
    <row r="565" spans="1:9" x14ac:dyDescent="0.2">
      <c r="A565" t="s">
        <v>26</v>
      </c>
      <c r="B565" t="str">
        <f>'PVC Presión'!A41</f>
        <v>Conducción Fluidos</v>
      </c>
      <c r="C565" t="str">
        <f>'PVC Presión'!B41</f>
        <v>PVC PRESION / HIDRÁULICO</v>
      </c>
      <c r="D565">
        <f>'PVC Presión'!F41</f>
        <v>351932</v>
      </c>
      <c r="E565" t="str">
        <f>'PVC Presión'!G41</f>
        <v>PVC PRE LL/V VÁLVULA BOLA HI -HI 3/4</v>
      </c>
      <c r="F565">
        <f>'PVC Presión'!H41</f>
        <v>10</v>
      </c>
      <c r="G565" t="str">
        <f>'PVC Presión'!I41</f>
        <v>Bolsa</v>
      </c>
      <c r="H565">
        <f>IFERROR(IF('PVC Presión'!J41="",0,'PVC Presión'!J41),0)</f>
        <v>0</v>
      </c>
      <c r="I565" s="58" t="str">
        <f>IF(H565&gt;0, MAX(I$1:I564)+1, "")</f>
        <v/>
      </c>
    </row>
    <row r="566" spans="1:9" x14ac:dyDescent="0.2">
      <c r="A566" t="s">
        <v>26</v>
      </c>
      <c r="B566" t="str">
        <f>'PVC Presión'!A42</f>
        <v>Conducción Fluidos</v>
      </c>
      <c r="C566" t="str">
        <f>'PVC Presión'!B42</f>
        <v>PVC PRESION / HIDRÁULICO</v>
      </c>
      <c r="D566">
        <f>'PVC Presión'!F42</f>
        <v>351933</v>
      </c>
      <c r="E566" t="str">
        <f>'PVC Presión'!G42</f>
        <v>PVC PRE LL/V VÁLVULA BOLA HI -HI 1</v>
      </c>
      <c r="F566">
        <f>'PVC Presión'!H42</f>
        <v>10</v>
      </c>
      <c r="G566" t="str">
        <f>'PVC Presión'!I42</f>
        <v>Bolsa</v>
      </c>
      <c r="H566">
        <f>IFERROR(IF('PVC Presión'!J42="",0,'PVC Presión'!J42),0)</f>
        <v>0</v>
      </c>
      <c r="I566" s="58" t="str">
        <f>IF(H566&gt;0, MAX(I$1:I565)+1, "")</f>
        <v/>
      </c>
    </row>
    <row r="567" spans="1:9" x14ac:dyDescent="0.2">
      <c r="A567" t="s">
        <v>26</v>
      </c>
      <c r="B567" t="str">
        <f>'PVC Presión'!A43</f>
        <v>Conducción Fluidos</v>
      </c>
      <c r="C567" t="str">
        <f>'PVC Presión'!B43</f>
        <v>PVC PRESION / HIDRÁULICO</v>
      </c>
      <c r="D567">
        <f>'PVC Presión'!F43</f>
        <v>351934</v>
      </c>
      <c r="E567" t="str">
        <f>'PVC Presión'!G43</f>
        <v>PVC PRE LL/V VÁLVULA BOLA HI -HI 1 1/4</v>
      </c>
      <c r="F567">
        <f>'PVC Presión'!H43</f>
        <v>5</v>
      </c>
      <c r="G567" t="str">
        <f>'PVC Presión'!I43</f>
        <v>Bolsa</v>
      </c>
      <c r="H567">
        <f>IFERROR(IF('PVC Presión'!J43="",0,'PVC Presión'!J43),0)</f>
        <v>0</v>
      </c>
      <c r="I567" s="58" t="str">
        <f>IF(H567&gt;0, MAX(I$1:I566)+1, "")</f>
        <v/>
      </c>
    </row>
    <row r="568" spans="1:9" x14ac:dyDescent="0.2">
      <c r="A568" t="s">
        <v>26</v>
      </c>
      <c r="B568" t="str">
        <f>'PVC Presión'!A44</f>
        <v>Conducción Fluidos</v>
      </c>
      <c r="C568" t="str">
        <f>'PVC Presión'!B44</f>
        <v>PVC PRESION / HIDRÁULICO</v>
      </c>
      <c r="D568">
        <f>'PVC Presión'!F44</f>
        <v>351935</v>
      </c>
      <c r="E568" t="str">
        <f>'PVC Presión'!G44</f>
        <v>PVC PRE LL/V VÁLVULA BOLA HI -HI 1 1/2</v>
      </c>
      <c r="F568">
        <f>'PVC Presión'!H44</f>
        <v>5</v>
      </c>
      <c r="G568" t="str">
        <f>'PVC Presión'!I44</f>
        <v>Bolsa</v>
      </c>
      <c r="H568">
        <f>IFERROR(IF('PVC Presión'!J44="",0,'PVC Presión'!J44),0)</f>
        <v>0</v>
      </c>
      <c r="I568" s="58" t="str">
        <f>IF(H568&gt;0, MAX(I$1:I567)+1, "")</f>
        <v/>
      </c>
    </row>
    <row r="569" spans="1:9" x14ac:dyDescent="0.2">
      <c r="A569" t="s">
        <v>26</v>
      </c>
      <c r="B569" t="str">
        <f>'PVC Presión'!A45</f>
        <v>Conducción Fluidos</v>
      </c>
      <c r="C569" t="str">
        <f>'PVC Presión'!B45</f>
        <v>PVC PRESION / HIDRÁULICO</v>
      </c>
      <c r="D569">
        <f>'PVC Presión'!F45</f>
        <v>351936</v>
      </c>
      <c r="E569" t="str">
        <f>'PVC Presión'!G45</f>
        <v>PVC PRE LL/V VÁLVULA BOLA HI -HI 2</v>
      </c>
      <c r="F569">
        <f>'PVC Presión'!H45</f>
        <v>4</v>
      </c>
      <c r="G569" t="str">
        <f>'PVC Presión'!I45</f>
        <v>Bolsa</v>
      </c>
      <c r="H569">
        <f>IFERROR(IF('PVC Presión'!J45="",0,'PVC Presión'!J45),0)</f>
        <v>0</v>
      </c>
      <c r="I569" s="58" t="str">
        <f>IF(H569&gt;0, MAX(I$1:I568)+1, "")</f>
        <v/>
      </c>
    </row>
    <row r="570" spans="1:9" x14ac:dyDescent="0.2">
      <c r="A570" t="s">
        <v>26</v>
      </c>
      <c r="B570" t="str">
        <f>'PVC Presión'!A46</f>
        <v>Conducción Fluidos</v>
      </c>
      <c r="C570" t="str">
        <f>'PVC Presión'!B46</f>
        <v>PVC PRESION / HIDRÁULICO</v>
      </c>
      <c r="D570">
        <f>'PVC Presión'!F46</f>
        <v>351937</v>
      </c>
      <c r="E570" t="str">
        <f>'PVC Presión'!G46</f>
        <v>PVC PRE LL/V VÁLVULA BOLA HI -HI 2.5</v>
      </c>
      <c r="F570">
        <f>'PVC Presión'!H46</f>
        <v>4</v>
      </c>
      <c r="G570" t="str">
        <f>'PVC Presión'!I46</f>
        <v>Bolsa</v>
      </c>
      <c r="H570">
        <f>IFERROR(IF('PVC Presión'!J46="",0,'PVC Presión'!J46),0)</f>
        <v>0</v>
      </c>
      <c r="I570" s="58" t="str">
        <f>IF(H570&gt;0, MAX(I$1:I569)+1, "")</f>
        <v/>
      </c>
    </row>
    <row r="571" spans="1:9" x14ac:dyDescent="0.2">
      <c r="A571" t="s">
        <v>26</v>
      </c>
      <c r="B571" t="str">
        <f>'PVC Presión'!A47</f>
        <v>Conducción Fluidos</v>
      </c>
      <c r="C571" t="str">
        <f>'PVC Presión'!B47</f>
        <v>PVC PRESION / HIDRÁULICO</v>
      </c>
      <c r="D571">
        <f>'PVC Presión'!F47</f>
        <v>351938</v>
      </c>
      <c r="E571" t="str">
        <f>'PVC Presión'!G47</f>
        <v>PVC PRE LL/V VÁLVULA BOLA HI -HI 3</v>
      </c>
      <c r="F571">
        <f>'PVC Presión'!H47</f>
        <v>4</v>
      </c>
      <c r="G571" t="str">
        <f>'PVC Presión'!I47</f>
        <v>Bolsa</v>
      </c>
      <c r="H571">
        <f>IFERROR(IF('PVC Presión'!J47="",0,'PVC Presión'!J47),0)</f>
        <v>0</v>
      </c>
      <c r="I571" s="58" t="str">
        <f>IF(H571&gt;0, MAX(I$1:I570)+1, "")</f>
        <v/>
      </c>
    </row>
    <row r="572" spans="1:9" x14ac:dyDescent="0.2">
      <c r="A572" t="s">
        <v>26</v>
      </c>
      <c r="B572" t="str">
        <f>'PVC Presión'!A48</f>
        <v>Conducción Fluidos</v>
      </c>
      <c r="C572" t="str">
        <f>'PVC Presión'!B48</f>
        <v>PVC PRESION / HIDRÁULICO</v>
      </c>
      <c r="D572">
        <f>'PVC Presión'!F48</f>
        <v>351939</v>
      </c>
      <c r="E572" t="str">
        <f>'PVC Presión'!G48</f>
        <v>PVC PRE LL/V VÁLVULA BOLA HI -HI 4</v>
      </c>
      <c r="F572">
        <f>'PVC Presión'!H48</f>
        <v>4</v>
      </c>
      <c r="G572" t="str">
        <f>'PVC Presión'!I48</f>
        <v>Bolsa</v>
      </c>
      <c r="H572">
        <f>IFERROR(IF('PVC Presión'!J48="",0,'PVC Presión'!J48),0)</f>
        <v>0</v>
      </c>
      <c r="I572" s="58" t="str">
        <f>IF(H572&gt;0, MAX(I$1:I571)+1, "")</f>
        <v/>
      </c>
    </row>
    <row r="573" spans="1:9" x14ac:dyDescent="0.2">
      <c r="A573" t="s">
        <v>26</v>
      </c>
      <c r="B573" t="str">
        <f>'PVC Presión'!A49</f>
        <v>Conducción Fluidos</v>
      </c>
      <c r="C573" t="str">
        <f>'PVC Presión'!B49</f>
        <v>PVC PRESION / HIDRÁULICO</v>
      </c>
      <c r="D573">
        <f>'PVC Presión'!F49</f>
        <v>351911</v>
      </c>
      <c r="E573" t="str">
        <f>'PVC Presión'!G49</f>
        <v>PVC PRE LLAVE BOLA DOBLE U.AMER 20 HI-HI</v>
      </c>
      <c r="F573">
        <f>'PVC Presión'!H49</f>
        <v>10</v>
      </c>
      <c r="G573" t="str">
        <f>'PVC Presión'!I49</f>
        <v>Unitario</v>
      </c>
      <c r="H573">
        <f>IFERROR(IF('PVC Presión'!J49="",0,'PVC Presión'!J49),0)</f>
        <v>0</v>
      </c>
      <c r="I573" s="58" t="str">
        <f>IF(H573&gt;0, MAX(I$1:I572)+1, "")</f>
        <v/>
      </c>
    </row>
    <row r="574" spans="1:9" x14ac:dyDescent="0.2">
      <c r="A574" t="s">
        <v>26</v>
      </c>
      <c r="B574" t="str">
        <f>'PVC Presión'!A50</f>
        <v>Conducción Fluidos</v>
      </c>
      <c r="C574" t="str">
        <f>'PVC Presión'!B50</f>
        <v>PVC PRESION / HIDRÁULICO</v>
      </c>
      <c r="D574">
        <f>'PVC Presión'!F50</f>
        <v>351912</v>
      </c>
      <c r="E574" t="str">
        <f>'PVC Presión'!G50</f>
        <v>PVC PRE LLAVE BOLA DOBLE U.AMER 25 HI-HI</v>
      </c>
      <c r="F574">
        <f>'PVC Presión'!H50</f>
        <v>10</v>
      </c>
      <c r="G574" t="str">
        <f>'PVC Presión'!I50</f>
        <v>Unitario</v>
      </c>
      <c r="H574">
        <f>IFERROR(IF('PVC Presión'!J50="",0,'PVC Presión'!J50),0)</f>
        <v>0</v>
      </c>
      <c r="I574" s="58" t="str">
        <f>IF(H574&gt;0, MAX(I$1:I573)+1, "")</f>
        <v/>
      </c>
    </row>
    <row r="575" spans="1:9" x14ac:dyDescent="0.2">
      <c r="A575" t="s">
        <v>26</v>
      </c>
      <c r="B575" t="str">
        <f>'PVC Presión'!A51</f>
        <v>Conducción Fluidos</v>
      </c>
      <c r="C575" t="str">
        <f>'PVC Presión'!B51</f>
        <v>PVC PRESION / HIDRÁULICO</v>
      </c>
      <c r="D575">
        <f>'PVC Presión'!F51</f>
        <v>351913</v>
      </c>
      <c r="E575" t="str">
        <f>'PVC Presión'!G51</f>
        <v>PVC PRE LLAVE BOLA DOBLE U.AMER 32 HI-HI</v>
      </c>
      <c r="F575">
        <f>'PVC Presión'!H51</f>
        <v>5</v>
      </c>
      <c r="G575" t="str">
        <f>'PVC Presión'!I51</f>
        <v>Unitario</v>
      </c>
      <c r="H575">
        <f>IFERROR(IF('PVC Presión'!J51="",0,'PVC Presión'!J51),0)</f>
        <v>0</v>
      </c>
      <c r="I575" s="58" t="str">
        <f>IF(H575&gt;0, MAX(I$1:I574)+1, "")</f>
        <v/>
      </c>
    </row>
    <row r="576" spans="1:9" x14ac:dyDescent="0.2">
      <c r="A576" t="s">
        <v>26</v>
      </c>
      <c r="B576" t="str">
        <f>'PVC Presión'!A52</f>
        <v>Conducción Fluidos</v>
      </c>
      <c r="C576" t="str">
        <f>'PVC Presión'!B52</f>
        <v>PVC PRESION / HIDRÁULICO</v>
      </c>
      <c r="D576">
        <f>'PVC Presión'!F52</f>
        <v>351914</v>
      </c>
      <c r="E576" t="str">
        <f>'PVC Presión'!G52</f>
        <v>PVC PRE LLAVE BOLA DOBLE U.AMER 40 HI-HI</v>
      </c>
      <c r="F576">
        <f>'PVC Presión'!H52</f>
        <v>1</v>
      </c>
      <c r="G576" t="str">
        <f>'PVC Presión'!I52</f>
        <v>Unitario</v>
      </c>
      <c r="H576">
        <f>IFERROR(IF('PVC Presión'!J52="",0,'PVC Presión'!J52),0)</f>
        <v>0</v>
      </c>
      <c r="I576" s="58" t="str">
        <f>IF(H576&gt;0, MAX(I$1:I575)+1, "")</f>
        <v/>
      </c>
    </row>
    <row r="577" spans="1:9" x14ac:dyDescent="0.2">
      <c r="A577" t="s">
        <v>26</v>
      </c>
      <c r="B577" t="str">
        <f>'PVC Presión'!A53</f>
        <v>Conducción Fluidos</v>
      </c>
      <c r="C577" t="str">
        <f>'PVC Presión'!B53</f>
        <v>PVC PRESION / HIDRÁULICO</v>
      </c>
      <c r="D577">
        <f>'PVC Presión'!F53</f>
        <v>351915</v>
      </c>
      <c r="E577" t="str">
        <f>'PVC Presión'!G53</f>
        <v>PVC PRE LLAVE BOLA DOBLE U.AMER 50 HI-HI</v>
      </c>
      <c r="F577">
        <f>'PVC Presión'!H53</f>
        <v>1</v>
      </c>
      <c r="G577" t="str">
        <f>'PVC Presión'!I53</f>
        <v>Unitario</v>
      </c>
      <c r="H577">
        <f>IFERROR(IF('PVC Presión'!J53="",0,'PVC Presión'!J53),0)</f>
        <v>0</v>
      </c>
      <c r="I577" s="58" t="str">
        <f>IF(H577&gt;0, MAX(I$1:I576)+1, "")</f>
        <v/>
      </c>
    </row>
    <row r="578" spans="1:9" x14ac:dyDescent="0.2">
      <c r="A578" t="s">
        <v>26</v>
      </c>
      <c r="B578" t="str">
        <f>'PVC Presión'!A54</f>
        <v>Conducción Fluidos</v>
      </c>
      <c r="C578" t="str">
        <f>'PVC Presión'!B54</f>
        <v>PVC PRESION / HIDRÁULICO</v>
      </c>
      <c r="D578">
        <f>'PVC Presión'!F54</f>
        <v>351916</v>
      </c>
      <c r="E578" t="str">
        <f>'PVC Presión'!G54</f>
        <v>PVC PRE LLAVE BOLA DOBLE U.AMER 63 HI-HI</v>
      </c>
      <c r="F578">
        <f>'PVC Presión'!H54</f>
        <v>1</v>
      </c>
      <c r="G578" t="str">
        <f>'PVC Presión'!I54</f>
        <v>Unitario</v>
      </c>
      <c r="H578">
        <f>IFERROR(IF('PVC Presión'!J54="",0,'PVC Presión'!J54),0)</f>
        <v>0</v>
      </c>
      <c r="I578" s="58" t="str">
        <f>IF(H578&gt;0, MAX(I$1:I577)+1, "")</f>
        <v/>
      </c>
    </row>
    <row r="579" spans="1:9" x14ac:dyDescent="0.2">
      <c r="A579" t="s">
        <v>26</v>
      </c>
      <c r="B579" t="str">
        <f>'PVC Presión'!A55</f>
        <v>Conducción Fluidos</v>
      </c>
      <c r="C579" t="str">
        <f>'PVC Presión'!B55</f>
        <v>PVC PRESION / HIDRÁULICO</v>
      </c>
      <c r="D579">
        <f>'PVC Presión'!F55</f>
        <v>351921</v>
      </c>
      <c r="E579" t="str">
        <f>'PVC Presión'!G55</f>
        <v>PVC PRE LL/V V. BOLA  HI-U.AMER 20</v>
      </c>
      <c r="F579">
        <f>'PVC Presión'!H55</f>
        <v>10</v>
      </c>
      <c r="G579" t="str">
        <f>'PVC Presión'!I55</f>
        <v>Unitario</v>
      </c>
      <c r="H579">
        <f>IFERROR(IF('PVC Presión'!J55="",0,'PVC Presión'!J55),0)</f>
        <v>0</v>
      </c>
      <c r="I579" s="58" t="str">
        <f>IF(H579&gt;0, MAX(I$1:I578)+1, "")</f>
        <v/>
      </c>
    </row>
    <row r="580" spans="1:9" x14ac:dyDescent="0.2">
      <c r="A580" t="s">
        <v>26</v>
      </c>
      <c r="B580" t="str">
        <f>'PVC Presión'!A56</f>
        <v>Conducción Fluidos</v>
      </c>
      <c r="C580" t="str">
        <f>'PVC Presión'!B56</f>
        <v>PVC PRESION / HIDRÁULICO</v>
      </c>
      <c r="D580">
        <f>'PVC Presión'!F56</f>
        <v>351922</v>
      </c>
      <c r="E580" t="str">
        <f>'PVC Presión'!G56</f>
        <v>PVC PRE LL/V V. BOLA  HI-U.AMER 25</v>
      </c>
      <c r="F580">
        <f>'PVC Presión'!H56</f>
        <v>7</v>
      </c>
      <c r="G580" t="str">
        <f>'PVC Presión'!I56</f>
        <v>Unitario</v>
      </c>
      <c r="H580">
        <f>IFERROR(IF('PVC Presión'!J56="",0,'PVC Presión'!J56),0)</f>
        <v>0</v>
      </c>
      <c r="I580" s="58" t="str">
        <f>IF(H580&gt;0, MAX(I$1:I579)+1, "")</f>
        <v/>
      </c>
    </row>
    <row r="581" spans="1:9" x14ac:dyDescent="0.2">
      <c r="A581" t="s">
        <v>26</v>
      </c>
      <c r="B581" t="str">
        <f>'PVC Presión'!A57</f>
        <v>Conducción Fluidos</v>
      </c>
      <c r="C581" t="str">
        <f>'PVC Presión'!B57</f>
        <v>PVC PRESION / HIDRÁULICO</v>
      </c>
      <c r="D581">
        <f>'PVC Presión'!F57</f>
        <v>351923</v>
      </c>
      <c r="E581" t="str">
        <f>'PVC Presión'!G57</f>
        <v>PVC PRE LL/V V. BOLA  HI-U.AMER 32</v>
      </c>
      <c r="F581">
        <f>'PVC Presión'!H57</f>
        <v>5</v>
      </c>
      <c r="G581" t="str">
        <f>'PVC Presión'!I57</f>
        <v>Unitario</v>
      </c>
      <c r="H581">
        <f>IFERROR(IF('PVC Presión'!J57="",0,'PVC Presión'!J57),0)</f>
        <v>0</v>
      </c>
      <c r="I581" s="58" t="str">
        <f>IF(H581&gt;0, MAX(I$1:I580)+1, "")</f>
        <v/>
      </c>
    </row>
    <row r="582" spans="1:9" x14ac:dyDescent="0.2">
      <c r="A582" t="s">
        <v>26</v>
      </c>
      <c r="B582" t="str">
        <f>'PVC Presión'!A58</f>
        <v>Conducción Fluidos</v>
      </c>
      <c r="C582" t="str">
        <f>'PVC Presión'!B58</f>
        <v>PVC PRESION / HIDRÁULICO</v>
      </c>
      <c r="D582">
        <f>'PVC Presión'!F58</f>
        <v>351924</v>
      </c>
      <c r="E582" t="str">
        <f>'PVC Presión'!G58</f>
        <v>PVC PRE LL/V V. BOLA  HI-U.AMER 40</v>
      </c>
      <c r="F582">
        <f>'PVC Presión'!H58</f>
        <v>1</v>
      </c>
      <c r="G582" t="str">
        <f>'PVC Presión'!I58</f>
        <v>Unitario</v>
      </c>
      <c r="H582">
        <f>IFERROR(IF('PVC Presión'!J58="",0,'PVC Presión'!J58),0)</f>
        <v>0</v>
      </c>
      <c r="I582" s="58" t="str">
        <f>IF(H582&gt;0, MAX(I$1:I581)+1, "")</f>
        <v/>
      </c>
    </row>
    <row r="583" spans="1:9" x14ac:dyDescent="0.2">
      <c r="A583" t="s">
        <v>26</v>
      </c>
      <c r="B583" t="str">
        <f>'PVC Presión'!A59</f>
        <v>Conducción Fluidos</v>
      </c>
      <c r="C583" t="str">
        <f>'PVC Presión'!B59</f>
        <v>PVC PRESION / HIDRÁULICO</v>
      </c>
      <c r="D583">
        <f>'PVC Presión'!F59</f>
        <v>351925</v>
      </c>
      <c r="E583" t="str">
        <f>'PVC Presión'!G59</f>
        <v>PVC PRE LL/V V. BOLA  HI-U.AMER 50</v>
      </c>
      <c r="F583">
        <f>'PVC Presión'!H59</f>
        <v>1</v>
      </c>
      <c r="G583" t="str">
        <f>'PVC Presión'!I59</f>
        <v>Unitario</v>
      </c>
      <c r="H583">
        <f>IFERROR(IF('PVC Presión'!J59="",0,'PVC Presión'!J59),0)</f>
        <v>0</v>
      </c>
      <c r="I583" s="58" t="str">
        <f>IF(H583&gt;0, MAX(I$1:I582)+1, "")</f>
        <v/>
      </c>
    </row>
    <row r="584" spans="1:9" x14ac:dyDescent="0.2">
      <c r="A584" t="s">
        <v>26</v>
      </c>
      <c r="B584" t="str">
        <f>'PVC Presión'!A60</f>
        <v>Conducción Fluidos</v>
      </c>
      <c r="C584" t="str">
        <f>'PVC Presión'!B60</f>
        <v>PVC PRESION / HIDRÁULICO</v>
      </c>
      <c r="D584">
        <f>'PVC Presión'!F60</f>
        <v>351926</v>
      </c>
      <c r="E584" t="str">
        <f>'PVC Presión'!G60</f>
        <v>PVC PRE LL/V V. BOLA  HI-U.AMER 63</v>
      </c>
      <c r="F584">
        <f>'PVC Presión'!H60</f>
        <v>1</v>
      </c>
      <c r="G584" t="str">
        <f>'PVC Presión'!I60</f>
        <v>Unitario</v>
      </c>
      <c r="H584">
        <f>IFERROR(IF('PVC Presión'!J60="",0,'PVC Presión'!J60),0)</f>
        <v>0</v>
      </c>
      <c r="I584" s="58" t="str">
        <f>IF(H584&gt;0, MAX(I$1:I583)+1, "")</f>
        <v/>
      </c>
    </row>
    <row r="585" spans="1:9" x14ac:dyDescent="0.2">
      <c r="A585" t="s">
        <v>26</v>
      </c>
      <c r="B585" t="str">
        <f>'PVC Presión'!A61</f>
        <v>Conducción Fluidos</v>
      </c>
      <c r="C585" t="str">
        <f>'PVC Presión'!B61</f>
        <v>PVC PRESION / HIDRÁULICO</v>
      </c>
      <c r="D585">
        <f>'PVC Presión'!F61</f>
        <v>350902</v>
      </c>
      <c r="E585" t="str">
        <f>'PVC Presión'!G61</f>
        <v>PVC PRE FT UNION AMERICANA 20 CEM I</v>
      </c>
      <c r="F585">
        <f>'PVC Presión'!H61</f>
        <v>12</v>
      </c>
      <c r="G585" t="str">
        <f>'PVC Presión'!I61</f>
        <v>Bolsa</v>
      </c>
      <c r="H585">
        <f>IFERROR(IF('PVC Presión'!J61="",0,'PVC Presión'!J61),0)</f>
        <v>0</v>
      </c>
      <c r="I585" s="58" t="str">
        <f>IF(H585&gt;0, MAX(I$1:I584)+1, "")</f>
        <v/>
      </c>
    </row>
    <row r="586" spans="1:9" x14ac:dyDescent="0.2">
      <c r="A586" t="s">
        <v>26</v>
      </c>
      <c r="B586" t="str">
        <f>'PVC Presión'!A62</f>
        <v>Conducción Fluidos</v>
      </c>
      <c r="C586" t="str">
        <f>'PVC Presión'!B62</f>
        <v>PVC PRESION / HIDRÁULICO</v>
      </c>
      <c r="D586">
        <f>'PVC Presión'!F62</f>
        <v>350903</v>
      </c>
      <c r="E586" t="str">
        <f>'PVC Presión'!G62</f>
        <v>PVC PRE FT UNION AMERICANA 25 CEM I</v>
      </c>
      <c r="F586">
        <f>'PVC Presión'!H62</f>
        <v>9</v>
      </c>
      <c r="G586" t="str">
        <f>'PVC Presión'!I62</f>
        <v>Bolsa</v>
      </c>
      <c r="H586">
        <f>IFERROR(IF('PVC Presión'!J62="",0,'PVC Presión'!J62),0)</f>
        <v>0</v>
      </c>
      <c r="I586" s="58" t="str">
        <f>IF(H586&gt;0, MAX(I$1:I585)+1, "")</f>
        <v/>
      </c>
    </row>
    <row r="587" spans="1:9" x14ac:dyDescent="0.2">
      <c r="A587" t="s">
        <v>26</v>
      </c>
      <c r="B587" t="str">
        <f>'PVC Presión'!A63</f>
        <v>Conducción Fluidos</v>
      </c>
      <c r="C587" t="str">
        <f>'PVC Presión'!B63</f>
        <v>PVC PRESION / HIDRÁULICO</v>
      </c>
      <c r="D587">
        <f>'PVC Presión'!F63</f>
        <v>350904</v>
      </c>
      <c r="E587" t="str">
        <f>'PVC Presión'!G63</f>
        <v>PVC PRE FT UNION AMERICANA 32 CEM I</v>
      </c>
      <c r="F587">
        <f>'PVC Presión'!H63</f>
        <v>9</v>
      </c>
      <c r="G587" t="str">
        <f>'PVC Presión'!I63</f>
        <v>Bolsa</v>
      </c>
      <c r="H587">
        <f>IFERROR(IF('PVC Presión'!J63="",0,'PVC Presión'!J63),0)</f>
        <v>0</v>
      </c>
      <c r="I587" s="58" t="str">
        <f>IF(H587&gt;0, MAX(I$1:I586)+1, "")</f>
        <v/>
      </c>
    </row>
    <row r="588" spans="1:9" x14ac:dyDescent="0.2">
      <c r="A588" t="s">
        <v>26</v>
      </c>
      <c r="B588" t="str">
        <f>'PVC Presión'!A64</f>
        <v>Conducción Fluidos</v>
      </c>
      <c r="C588" t="str">
        <f>'PVC Presión'!B64</f>
        <v>PVC PRESION / HIDRÁULICO</v>
      </c>
      <c r="D588">
        <f>'PVC Presión'!F64</f>
        <v>350905</v>
      </c>
      <c r="E588" t="str">
        <f>'PVC Presión'!G64</f>
        <v>PVC PRE FT UNION AMERICANA 40 CEM I</v>
      </c>
      <c r="F588">
        <f>'PVC Presión'!H64</f>
        <v>1</v>
      </c>
      <c r="G588" t="str">
        <f>'PVC Presión'!I64</f>
        <v>Bolsa</v>
      </c>
      <c r="H588">
        <f>IFERROR(IF('PVC Presión'!J64="",0,'PVC Presión'!J64),0)</f>
        <v>0</v>
      </c>
      <c r="I588" s="58" t="str">
        <f>IF(H588&gt;0, MAX(I$1:I587)+1, "")</f>
        <v/>
      </c>
    </row>
    <row r="589" spans="1:9" x14ac:dyDescent="0.2">
      <c r="A589" t="s">
        <v>26</v>
      </c>
      <c r="B589" t="str">
        <f>'PVC Presión'!A65</f>
        <v>Conducción Fluidos</v>
      </c>
      <c r="C589" t="str">
        <f>'PVC Presión'!B65</f>
        <v>PVC PRESION / HIDRÁULICO</v>
      </c>
      <c r="D589">
        <f>'PVC Presión'!F65</f>
        <v>350906</v>
      </c>
      <c r="E589" t="str">
        <f>'PVC Presión'!G65</f>
        <v>PVC PRE FT UNION AMERICANA 50 CEM I</v>
      </c>
      <c r="F589">
        <f>'PVC Presión'!H65</f>
        <v>1</v>
      </c>
      <c r="G589" t="str">
        <f>'PVC Presión'!I65</f>
        <v>Bolsa</v>
      </c>
      <c r="H589">
        <f>IFERROR(IF('PVC Presión'!J65="",0,'PVC Presión'!J65),0)</f>
        <v>0</v>
      </c>
      <c r="I589" s="58" t="str">
        <f>IF(H589&gt;0, MAX(I$1:I588)+1, "")</f>
        <v/>
      </c>
    </row>
    <row r="590" spans="1:9" x14ac:dyDescent="0.2">
      <c r="A590" t="s">
        <v>26</v>
      </c>
      <c r="B590" t="str">
        <f>'PVC Presión'!A66</f>
        <v>Conducción Fluidos</v>
      </c>
      <c r="C590" t="str">
        <f>'PVC Presión'!B66</f>
        <v>PVC PRESION / HIDRÁULICO</v>
      </c>
      <c r="D590">
        <f>'PVC Presión'!F66</f>
        <v>350907</v>
      </c>
      <c r="E590" t="str">
        <f>'PVC Presión'!G66</f>
        <v>PVC PRE FT UNION AMERICANA 63 CEM I</v>
      </c>
      <c r="F590">
        <f>'PVC Presión'!H66</f>
        <v>1</v>
      </c>
      <c r="G590" t="str">
        <f>'PVC Presión'!I66</f>
        <v>Unitario</v>
      </c>
      <c r="H590">
        <f>IFERROR(IF('PVC Presión'!J66="",0,'PVC Presión'!J66),0)</f>
        <v>0</v>
      </c>
      <c r="I590" s="58" t="str">
        <f>IF(H590&gt;0, MAX(I$1:I589)+1, "")</f>
        <v/>
      </c>
    </row>
    <row r="591" spans="1:9" x14ac:dyDescent="0.2">
      <c r="A591" t="s">
        <v>26</v>
      </c>
      <c r="B591" t="str">
        <f>'PVC Presión'!A67</f>
        <v>Conducción Fluidos</v>
      </c>
      <c r="C591" t="str">
        <f>'PVC Presión'!B67</f>
        <v>PVC PRESION / HIDRÁULICO</v>
      </c>
      <c r="D591">
        <f>'PVC Presión'!F67</f>
        <v>351002</v>
      </c>
      <c r="E591" t="str">
        <f>'PVC Presión'!G67</f>
        <v>PVC PRE FT SALIDA ESTANQUE 32 X 1' I</v>
      </c>
      <c r="F591">
        <f>'PVC Presión'!H67</f>
        <v>7</v>
      </c>
      <c r="G591" t="str">
        <f>'PVC Presión'!I67</f>
        <v>Bolsa</v>
      </c>
      <c r="H591">
        <f>IFERROR(IF('PVC Presión'!J67="",0,'PVC Presión'!J67),0)</f>
        <v>0</v>
      </c>
      <c r="I591" s="58" t="str">
        <f>IF(H591&gt;0, MAX(I$1:I590)+1, "")</f>
        <v/>
      </c>
    </row>
    <row r="592" spans="1:9" x14ac:dyDescent="0.2">
      <c r="A592" t="s">
        <v>26</v>
      </c>
      <c r="B592" t="str">
        <f>'PVC Presión'!A68</f>
        <v>Conducción Fluidos</v>
      </c>
      <c r="C592" t="str">
        <f>'PVC Presión'!B68</f>
        <v>PVC PRESION / HIDRÁULICO</v>
      </c>
      <c r="D592">
        <f>'PVC Presión'!F68</f>
        <v>351003</v>
      </c>
      <c r="E592" t="str">
        <f>'PVC Presión'!G68</f>
        <v>PVC PRE FT SALIDA ESTANQUE 40 X 1 1/4' I</v>
      </c>
      <c r="F592">
        <f>'PVC Presión'!H68</f>
        <v>7</v>
      </c>
      <c r="G592" t="str">
        <f>'PVC Presión'!I68</f>
        <v>Bolsa</v>
      </c>
      <c r="H592">
        <f>IFERROR(IF('PVC Presión'!J68="",0,'PVC Presión'!J68),0)</f>
        <v>0</v>
      </c>
      <c r="I592" s="58" t="str">
        <f>IF(H592&gt;0, MAX(I$1:I591)+1, "")</f>
        <v/>
      </c>
    </row>
    <row r="593" spans="1:9" x14ac:dyDescent="0.2">
      <c r="A593" t="s">
        <v>26</v>
      </c>
      <c r="B593" t="str">
        <f>'PVC Presión'!A69</f>
        <v>Conducción Fluidos</v>
      </c>
      <c r="C593" t="str">
        <f>'PVC Presión'!B69</f>
        <v>PVC PRESION / HIDRÁULICO</v>
      </c>
      <c r="D593">
        <f>'PVC Presión'!F69</f>
        <v>351004</v>
      </c>
      <c r="E593" t="str">
        <f>'PVC Presión'!G69</f>
        <v>PVC PRE FT SALIDA ESTANQUE 50 X 1 1/2' I</v>
      </c>
      <c r="F593">
        <f>'PVC Presión'!H69</f>
        <v>6</v>
      </c>
      <c r="G593" t="str">
        <f>'PVC Presión'!I69</f>
        <v>Bolsa</v>
      </c>
      <c r="H593">
        <f>IFERROR(IF('PVC Presión'!J69="",0,'PVC Presión'!J69),0)</f>
        <v>0</v>
      </c>
      <c r="I593" s="58" t="str">
        <f>IF(H593&gt;0, MAX(I$1:I592)+1, "")</f>
        <v/>
      </c>
    </row>
    <row r="594" spans="1:9" x14ac:dyDescent="0.2">
      <c r="A594" t="s">
        <v>26</v>
      </c>
      <c r="B594" t="str">
        <f>'PVC Presión'!A70</f>
        <v>Conducción Fluidos</v>
      </c>
      <c r="C594" t="str">
        <f>'PVC Presión'!B70</f>
        <v>PVC PRESION / HIDRÁULICO</v>
      </c>
      <c r="D594">
        <f>'PVC Presión'!F70</f>
        <v>352001</v>
      </c>
      <c r="E594" t="str">
        <f>'PVC Presión'!G70</f>
        <v>PVC PRE ACC ABRAZADERA 20 I</v>
      </c>
      <c r="F594">
        <f>'PVC Presión'!H70</f>
        <v>100</v>
      </c>
      <c r="G594" t="str">
        <f>'PVC Presión'!I70</f>
        <v>Bolsa</v>
      </c>
      <c r="H594">
        <f>IFERROR(IF('PVC Presión'!J70="",0,'PVC Presión'!J70),0)</f>
        <v>0</v>
      </c>
      <c r="I594" s="58" t="str">
        <f>IF(H594&gt;0, MAX(I$1:I593)+1, "")</f>
        <v/>
      </c>
    </row>
    <row r="595" spans="1:9" x14ac:dyDescent="0.2">
      <c r="A595" t="s">
        <v>26</v>
      </c>
      <c r="B595" t="str">
        <f>'PVC Presión'!A71</f>
        <v>Conducción Fluidos</v>
      </c>
      <c r="C595" t="str">
        <f>'PVC Presión'!B71</f>
        <v>PVC PRESION / HIDRÁULICO</v>
      </c>
      <c r="D595">
        <f>'PVC Presión'!F71</f>
        <v>352002</v>
      </c>
      <c r="E595" t="str">
        <f>'PVC Presión'!G71</f>
        <v>PVC PRE ACC ABRAZADERA 25 I</v>
      </c>
      <c r="F595">
        <f>'PVC Presión'!H71</f>
        <v>100</v>
      </c>
      <c r="G595" t="str">
        <f>'PVC Presión'!I71</f>
        <v>Bolsa</v>
      </c>
      <c r="H595">
        <f>IFERROR(IF('PVC Presión'!J71="",0,'PVC Presión'!J71),0)</f>
        <v>0</v>
      </c>
      <c r="I595" s="58" t="str">
        <f>IF(H595&gt;0, MAX(I$1:I594)+1, "")</f>
        <v/>
      </c>
    </row>
    <row r="596" spans="1:9" x14ac:dyDescent="0.2">
      <c r="A596" t="s">
        <v>26</v>
      </c>
      <c r="B596" t="str">
        <f>'PVC Presión'!A72</f>
        <v>Conducción Fluidos</v>
      </c>
      <c r="C596" t="str">
        <f>'PVC Presión'!B72</f>
        <v>PVC PRESION / HIDRÁULICO</v>
      </c>
      <c r="D596">
        <f>'PVC Presión'!F72</f>
        <v>352003</v>
      </c>
      <c r="E596" t="str">
        <f>'PVC Presión'!G72</f>
        <v>PVC PRE ACC ABRAZADERA 32 I</v>
      </c>
      <c r="F596">
        <f>'PVC Presión'!H72</f>
        <v>80</v>
      </c>
      <c r="G596" t="str">
        <f>'PVC Presión'!I72</f>
        <v>Bolsa</v>
      </c>
      <c r="H596">
        <f>IFERROR(IF('PVC Presión'!J72="",0,'PVC Presión'!J72),0)</f>
        <v>0</v>
      </c>
      <c r="I596" s="58" t="str">
        <f>IF(H596&gt;0, MAX(I$1:I595)+1, "")</f>
        <v/>
      </c>
    </row>
    <row r="597" spans="1:9" x14ac:dyDescent="0.2">
      <c r="A597" t="s">
        <v>26</v>
      </c>
      <c r="B597" t="str">
        <f>'PVC Presión'!A73</f>
        <v>Conducción Fluidos</v>
      </c>
      <c r="C597" t="str">
        <f>'PVC Presión'!B73</f>
        <v>PVC PRESION / HIDRÁULICO</v>
      </c>
      <c r="D597">
        <f>'PVC Presión'!F73</f>
        <v>352004</v>
      </c>
      <c r="E597" t="str">
        <f>'PVC Presión'!G73</f>
        <v>PVC PRE ACC ABRAZADERA 40 I</v>
      </c>
      <c r="F597">
        <f>'PVC Presión'!H73</f>
        <v>60</v>
      </c>
      <c r="G597" t="str">
        <f>'PVC Presión'!I73</f>
        <v>Bolsa</v>
      </c>
      <c r="H597">
        <f>IFERROR(IF('PVC Presión'!J73="",0,'PVC Presión'!J73),0)</f>
        <v>0</v>
      </c>
      <c r="I597" s="58" t="str">
        <f>IF(H597&gt;0, MAX(I$1:I596)+1, "")</f>
        <v/>
      </c>
    </row>
    <row r="598" spans="1:9" x14ac:dyDescent="0.2">
      <c r="A598" t="s">
        <v>26</v>
      </c>
      <c r="B598" t="str">
        <f>'PVC Presión'!A74</f>
        <v>Conducción Fluidos</v>
      </c>
      <c r="C598" t="str">
        <f>'PVC Presión'!B74</f>
        <v>PVC PRESION / HIDRÁULICO</v>
      </c>
      <c r="D598">
        <f>'PVC Presión'!F74</f>
        <v>352005</v>
      </c>
      <c r="E598" t="str">
        <f>'PVC Presión'!G74</f>
        <v>PVC PRE ACC ABRAZADERA 50 I</v>
      </c>
      <c r="F598">
        <f>'PVC Presión'!H74</f>
        <v>30</v>
      </c>
      <c r="G598" t="str">
        <f>'PVC Presión'!I74</f>
        <v>Bolsa</v>
      </c>
      <c r="H598">
        <f>IFERROR(IF('PVC Presión'!J74="",0,'PVC Presión'!J74),0)</f>
        <v>0</v>
      </c>
      <c r="I598" s="58" t="str">
        <f>IF(H598&gt;0, MAX(I$1:I597)+1, "")</f>
        <v/>
      </c>
    </row>
    <row r="599" spans="1:9" x14ac:dyDescent="0.2">
      <c r="A599" t="s">
        <v>26</v>
      </c>
      <c r="B599" t="str">
        <f>'PVC Presión'!A75</f>
        <v>Conducción Fluidos</v>
      </c>
      <c r="C599" t="str">
        <f>'PVC Presión'!B75</f>
        <v>PVC PRESION / HIDRÁULICO</v>
      </c>
      <c r="D599">
        <f>'PVC Presión'!F75</f>
        <v>350602</v>
      </c>
      <c r="E599" t="str">
        <f>'PVC Presión'!G75</f>
        <v>PVC PRE FT CODO 45° 20 CEM I</v>
      </c>
      <c r="F599">
        <f>'PVC Presión'!H75</f>
        <v>50</v>
      </c>
      <c r="G599" t="str">
        <f>'PVC Presión'!I75</f>
        <v>Bolsa</v>
      </c>
      <c r="H599">
        <f>IFERROR(IF('PVC Presión'!J75="",0,'PVC Presión'!J75),0)</f>
        <v>0</v>
      </c>
      <c r="I599" s="58" t="str">
        <f>IF(H599&gt;0, MAX(I$1:I598)+1, "")</f>
        <v/>
      </c>
    </row>
    <row r="600" spans="1:9" x14ac:dyDescent="0.2">
      <c r="A600" t="s">
        <v>26</v>
      </c>
      <c r="B600" t="str">
        <f>'PVC Presión'!A76</f>
        <v>Conducción Fluidos</v>
      </c>
      <c r="C600" t="str">
        <f>'PVC Presión'!B76</f>
        <v>PVC PRESION / HIDRÁULICO</v>
      </c>
      <c r="D600">
        <f>'PVC Presión'!F76</f>
        <v>350603</v>
      </c>
      <c r="E600" t="str">
        <f>'PVC Presión'!G76</f>
        <v>PVC PRE FT CODO 45° 25 CEM I</v>
      </c>
      <c r="F600">
        <f>'PVC Presión'!H76</f>
        <v>40</v>
      </c>
      <c r="G600" t="str">
        <f>'PVC Presión'!I76</f>
        <v>Bolsa</v>
      </c>
      <c r="H600">
        <f>IFERROR(IF('PVC Presión'!J76="",0,'PVC Presión'!J76),0)</f>
        <v>0</v>
      </c>
      <c r="I600" s="58" t="str">
        <f>IF(H600&gt;0, MAX(I$1:I599)+1, "")</f>
        <v/>
      </c>
    </row>
    <row r="601" spans="1:9" x14ac:dyDescent="0.2">
      <c r="A601" t="s">
        <v>26</v>
      </c>
      <c r="B601" t="str">
        <f>'PVC Presión'!A77</f>
        <v>Conducción Fluidos</v>
      </c>
      <c r="C601" t="str">
        <f>'PVC Presión'!B77</f>
        <v>PVC PRESION / HIDRÁULICO</v>
      </c>
      <c r="D601">
        <f>'PVC Presión'!F77</f>
        <v>350604</v>
      </c>
      <c r="E601" t="str">
        <f>'PVC Presión'!G77</f>
        <v>PVC PRE FT CODO 45° 32 CEM I</v>
      </c>
      <c r="F601">
        <f>'PVC Presión'!H77</f>
        <v>28</v>
      </c>
      <c r="G601" t="str">
        <f>'PVC Presión'!I77</f>
        <v>Bolsa</v>
      </c>
      <c r="H601">
        <f>IFERROR(IF('PVC Presión'!J77="",0,'PVC Presión'!J77),0)</f>
        <v>0</v>
      </c>
      <c r="I601" s="58" t="str">
        <f>IF(H601&gt;0, MAX(I$1:I600)+1, "")</f>
        <v/>
      </c>
    </row>
    <row r="602" spans="1:9" x14ac:dyDescent="0.2">
      <c r="A602" t="s">
        <v>26</v>
      </c>
      <c r="B602" t="str">
        <f>'PVC Presión'!A78</f>
        <v>Conducción Fluidos</v>
      </c>
      <c r="C602" t="str">
        <f>'PVC Presión'!B78</f>
        <v>PVC PRESION / HIDRÁULICO</v>
      </c>
      <c r="D602">
        <f>'PVC Presión'!F78</f>
        <v>350605</v>
      </c>
      <c r="E602" t="str">
        <f>'PVC Presión'!G78</f>
        <v>PVC PRE FT CODO 45° 40 CEM I</v>
      </c>
      <c r="F602">
        <f>'PVC Presión'!H78</f>
        <v>20</v>
      </c>
      <c r="G602" t="str">
        <f>'PVC Presión'!I78</f>
        <v>Bolsa</v>
      </c>
      <c r="H602">
        <f>IFERROR(IF('PVC Presión'!J78="",0,'PVC Presión'!J78),0)</f>
        <v>0</v>
      </c>
      <c r="I602" s="58" t="str">
        <f>IF(H602&gt;0, MAX(I$1:I601)+1, "")</f>
        <v/>
      </c>
    </row>
    <row r="603" spans="1:9" x14ac:dyDescent="0.2">
      <c r="A603" t="s">
        <v>26</v>
      </c>
      <c r="B603" t="str">
        <f>'PVC Presión'!A79</f>
        <v>Conducción Fluidos</v>
      </c>
      <c r="C603" t="str">
        <f>'PVC Presión'!B79</f>
        <v>PVC PRESION / HIDRÁULICO</v>
      </c>
      <c r="D603">
        <f>'PVC Presión'!F79</f>
        <v>350606</v>
      </c>
      <c r="E603" t="str">
        <f>'PVC Presión'!G79</f>
        <v>PVC PRE FT CODO 45° 50 CEM I</v>
      </c>
      <c r="F603">
        <f>'PVC Presión'!H79</f>
        <v>16</v>
      </c>
      <c r="G603" t="str">
        <f>'PVC Presión'!I79</f>
        <v>Bolsa</v>
      </c>
      <c r="H603">
        <f>IFERROR(IF('PVC Presión'!J79="",0,'PVC Presión'!J79),0)</f>
        <v>0</v>
      </c>
      <c r="I603" s="58" t="str">
        <f>IF(H603&gt;0, MAX(I$1:I602)+1, "")</f>
        <v/>
      </c>
    </row>
    <row r="604" spans="1:9" x14ac:dyDescent="0.2">
      <c r="A604" t="s">
        <v>26</v>
      </c>
      <c r="B604" t="str">
        <f>'PVC Presión'!A80</f>
        <v>Conducción Fluidos</v>
      </c>
      <c r="C604" t="str">
        <f>'PVC Presión'!B80</f>
        <v>PVC PRESION / HIDRÁULICO</v>
      </c>
      <c r="D604">
        <f>'PVC Presión'!F80</f>
        <v>350607</v>
      </c>
      <c r="E604" t="str">
        <f>'PVC Presión'!G80</f>
        <v>PVC PRE FT CODO 45° 63 CEM I</v>
      </c>
      <c r="F604">
        <f>'PVC Presión'!H80</f>
        <v>10</v>
      </c>
      <c r="G604" t="str">
        <f>'PVC Presión'!I80</f>
        <v>Bolsa</v>
      </c>
      <c r="H604">
        <f>IFERROR(IF('PVC Presión'!J80="",0,'PVC Presión'!J80),0)</f>
        <v>0</v>
      </c>
      <c r="I604" s="58" t="str">
        <f>IF(H604&gt;0, MAX(I$1:I603)+1, "")</f>
        <v/>
      </c>
    </row>
    <row r="605" spans="1:9" x14ac:dyDescent="0.2">
      <c r="A605" t="s">
        <v>26</v>
      </c>
      <c r="B605" t="str">
        <f>'PVC Presión'!A81</f>
        <v>Conducción Fluidos</v>
      </c>
      <c r="C605" t="str">
        <f>'PVC Presión'!B81</f>
        <v>PVC PRESION / HIDRÁULICO</v>
      </c>
      <c r="D605">
        <f>'PVC Presión'!F81</f>
        <v>350608</v>
      </c>
      <c r="E605" t="str">
        <f>'PVC Presión'!G81</f>
        <v>PVC PRE FT CODO 45° 75 CEM I</v>
      </c>
      <c r="F605">
        <f>'PVC Presión'!H81</f>
        <v>1</v>
      </c>
      <c r="G605" t="str">
        <f>'PVC Presión'!I81</f>
        <v>Unitario</v>
      </c>
      <c r="H605">
        <f>IFERROR(IF('PVC Presión'!J81="",0,'PVC Presión'!J81),0)</f>
        <v>0</v>
      </c>
      <c r="I605" s="58" t="str">
        <f>IF(H605&gt;0, MAX(I$1:I604)+1, "")</f>
        <v/>
      </c>
    </row>
    <row r="606" spans="1:9" x14ac:dyDescent="0.2">
      <c r="A606" t="s">
        <v>26</v>
      </c>
      <c r="B606" t="str">
        <f>'PVC Presión'!A82</f>
        <v>Conducción Fluidos</v>
      </c>
      <c r="C606" t="str">
        <f>'PVC Presión'!B82</f>
        <v>PVC PRESION / HIDRÁULICO</v>
      </c>
      <c r="D606">
        <f>'PVC Presión'!F82</f>
        <v>350609</v>
      </c>
      <c r="E606" t="str">
        <f>'PVC Presión'!G82</f>
        <v>PVC PRE FT CODO 45° 90 CEM I</v>
      </c>
      <c r="F606">
        <f>'PVC Presión'!H82</f>
        <v>1</v>
      </c>
      <c r="G606" t="str">
        <f>'PVC Presión'!I82</f>
        <v>Unitario</v>
      </c>
      <c r="H606">
        <f>IFERROR(IF('PVC Presión'!J82="",0,'PVC Presión'!J82),0)</f>
        <v>0</v>
      </c>
      <c r="I606" s="58" t="str">
        <f>IF(H606&gt;0, MAX(I$1:I605)+1, "")</f>
        <v/>
      </c>
    </row>
    <row r="607" spans="1:9" x14ac:dyDescent="0.2">
      <c r="A607" t="s">
        <v>26</v>
      </c>
      <c r="B607" t="str">
        <f>'PVC Presión'!A83</f>
        <v>Conducción Fluidos</v>
      </c>
      <c r="C607" t="str">
        <f>'PVC Presión'!B83</f>
        <v>PVC PRESION / HIDRÁULICO</v>
      </c>
      <c r="D607">
        <f>'PVC Presión'!F83</f>
        <v>350610</v>
      </c>
      <c r="E607" t="str">
        <f>'PVC Presión'!G83</f>
        <v>PVC PRE FT CODO 45° 110 CEM I</v>
      </c>
      <c r="F607">
        <f>'PVC Presión'!H83</f>
        <v>1</v>
      </c>
      <c r="G607" t="str">
        <f>'PVC Presión'!I83</f>
        <v>Unitario</v>
      </c>
      <c r="H607">
        <f>IFERROR(IF('PVC Presión'!J83="",0,'PVC Presión'!J83),0)</f>
        <v>0</v>
      </c>
      <c r="I607" s="58" t="str">
        <f>IF(H607&gt;0, MAX(I$1:I606)+1, "")</f>
        <v/>
      </c>
    </row>
    <row r="608" spans="1:9" x14ac:dyDescent="0.2">
      <c r="A608" t="s">
        <v>26</v>
      </c>
      <c r="B608" t="str">
        <f>'PVC Presión'!A84</f>
        <v>Conducción Fluidos</v>
      </c>
      <c r="C608" t="str">
        <f>'PVC Presión'!B84</f>
        <v>PVC PRESION / HIDRÁULICO</v>
      </c>
      <c r="D608">
        <f>'PVC Presión'!F84</f>
        <v>350611</v>
      </c>
      <c r="E608" t="str">
        <f>'PVC Presión'!G84</f>
        <v>PVC PRE FT CODO 45° 125 CEM I</v>
      </c>
      <c r="F608">
        <f>'PVC Presión'!H84</f>
        <v>1</v>
      </c>
      <c r="G608" t="str">
        <f>'PVC Presión'!I84</f>
        <v>Unitario</v>
      </c>
      <c r="H608">
        <f>IFERROR(IF('PVC Presión'!J84="",0,'PVC Presión'!J84),0)</f>
        <v>0</v>
      </c>
      <c r="I608" s="58" t="str">
        <f>IF(H608&gt;0, MAX(I$1:I607)+1, "")</f>
        <v/>
      </c>
    </row>
    <row r="609" spans="1:9" x14ac:dyDescent="0.2">
      <c r="A609" t="s">
        <v>26</v>
      </c>
      <c r="B609" t="str">
        <f>'PVC Presión'!A85</f>
        <v>Conducción Fluidos</v>
      </c>
      <c r="C609" t="str">
        <f>'PVC Presión'!B85</f>
        <v>PVC PRESION / HIDRÁULICO</v>
      </c>
      <c r="D609">
        <f>'PVC Presión'!F85</f>
        <v>350612</v>
      </c>
      <c r="E609" t="str">
        <f>'PVC Presión'!G85</f>
        <v>PVC PRE FT CODO 45° 160 CEM I</v>
      </c>
      <c r="F609">
        <f>'PVC Presión'!H85</f>
        <v>1</v>
      </c>
      <c r="G609" t="str">
        <f>'PVC Presión'!I85</f>
        <v>Unitario</v>
      </c>
      <c r="H609">
        <f>IFERROR(IF('PVC Presión'!J85="",0,'PVC Presión'!J85),0)</f>
        <v>0</v>
      </c>
      <c r="I609" s="58" t="str">
        <f>IF(H609&gt;0, MAX(I$1:I608)+1, "")</f>
        <v/>
      </c>
    </row>
    <row r="610" spans="1:9" x14ac:dyDescent="0.2">
      <c r="A610" t="s">
        <v>26</v>
      </c>
      <c r="B610" t="str">
        <f>'PVC Presión'!A86</f>
        <v>Conducción Fluidos</v>
      </c>
      <c r="C610" t="str">
        <f>'PVC Presión'!B86</f>
        <v>PVC PRESION / HIDRÁULICO</v>
      </c>
      <c r="D610">
        <f>'PVC Presión'!F86</f>
        <v>350502</v>
      </c>
      <c r="E610" t="str">
        <f>'PVC Presión'!G86</f>
        <v>PVC PRE FT CODO 90° 20 CEM I</v>
      </c>
      <c r="F610">
        <f>'PVC Presión'!H86</f>
        <v>40</v>
      </c>
      <c r="G610" t="str">
        <f>'PVC Presión'!I86</f>
        <v>Bolsa</v>
      </c>
      <c r="H610">
        <f>IFERROR(IF('PVC Presión'!J86="",0,'PVC Presión'!J86),0)</f>
        <v>0</v>
      </c>
      <c r="I610" s="58" t="str">
        <f>IF(H610&gt;0, MAX(I$1:I609)+1, "")</f>
        <v/>
      </c>
    </row>
    <row r="611" spans="1:9" x14ac:dyDescent="0.2">
      <c r="A611" t="s">
        <v>26</v>
      </c>
      <c r="B611" t="str">
        <f>'PVC Presión'!A87</f>
        <v>Conducción Fluidos</v>
      </c>
      <c r="C611" t="str">
        <f>'PVC Presión'!B87</f>
        <v>PVC PRESION / HIDRÁULICO</v>
      </c>
      <c r="D611">
        <f>'PVC Presión'!F87</f>
        <v>350503</v>
      </c>
      <c r="E611" t="str">
        <f>'PVC Presión'!G87</f>
        <v>PVC PRE FT CODO 90° 25 CEM I</v>
      </c>
      <c r="F611">
        <f>'PVC Presión'!H87</f>
        <v>30</v>
      </c>
      <c r="G611" t="str">
        <f>'PVC Presión'!I87</f>
        <v>Bolsa</v>
      </c>
      <c r="H611">
        <f>IFERROR(IF('PVC Presión'!J87="",0,'PVC Presión'!J87),0)</f>
        <v>0</v>
      </c>
      <c r="I611" s="58" t="str">
        <f>IF(H611&gt;0, MAX(I$1:I610)+1, "")</f>
        <v/>
      </c>
    </row>
    <row r="612" spans="1:9" x14ac:dyDescent="0.2">
      <c r="A612" t="s">
        <v>26</v>
      </c>
      <c r="B612" t="str">
        <f>'PVC Presión'!A88</f>
        <v>Conducción Fluidos</v>
      </c>
      <c r="C612" t="str">
        <f>'PVC Presión'!B88</f>
        <v>PVC PRESION / HIDRÁULICO</v>
      </c>
      <c r="D612">
        <f>'PVC Presión'!F88</f>
        <v>350504</v>
      </c>
      <c r="E612" t="str">
        <f>'PVC Presión'!G88</f>
        <v>PVC PRE FT CODO 90° 32 CEM I</v>
      </c>
      <c r="F612">
        <f>'PVC Presión'!H88</f>
        <v>30</v>
      </c>
      <c r="G612" t="str">
        <f>'PVC Presión'!I88</f>
        <v>Bolsa</v>
      </c>
      <c r="H612">
        <f>IFERROR(IF('PVC Presión'!J88="",0,'PVC Presión'!J88),0)</f>
        <v>0</v>
      </c>
      <c r="I612" s="58" t="str">
        <f>IF(H612&gt;0, MAX(I$1:I611)+1, "")</f>
        <v/>
      </c>
    </row>
    <row r="613" spans="1:9" x14ac:dyDescent="0.2">
      <c r="A613" t="s">
        <v>26</v>
      </c>
      <c r="B613" t="str">
        <f>'PVC Presión'!A89</f>
        <v>Conducción Fluidos</v>
      </c>
      <c r="C613" t="str">
        <f>'PVC Presión'!B89</f>
        <v>PVC PRESION / HIDRÁULICO</v>
      </c>
      <c r="D613">
        <f>'PVC Presión'!F89</f>
        <v>350505</v>
      </c>
      <c r="E613" t="str">
        <f>'PVC Presión'!G89</f>
        <v>PVC PRE FT CODO 90° 40 CEM I</v>
      </c>
      <c r="F613">
        <f>'PVC Presión'!H89</f>
        <v>25</v>
      </c>
      <c r="G613" t="str">
        <f>'PVC Presión'!I89</f>
        <v>Bolsa</v>
      </c>
      <c r="H613">
        <f>IFERROR(IF('PVC Presión'!J89="",0,'PVC Presión'!J89),0)</f>
        <v>0</v>
      </c>
      <c r="I613" s="58" t="str">
        <f>IF(H613&gt;0, MAX(I$1:I612)+1, "")</f>
        <v/>
      </c>
    </row>
    <row r="614" spans="1:9" x14ac:dyDescent="0.2">
      <c r="A614" t="s">
        <v>26</v>
      </c>
      <c r="B614" t="str">
        <f>'PVC Presión'!A90</f>
        <v>Conducción Fluidos</v>
      </c>
      <c r="C614" t="str">
        <f>'PVC Presión'!B90</f>
        <v>PVC PRESION / HIDRÁULICO</v>
      </c>
      <c r="D614">
        <f>'PVC Presión'!F90</f>
        <v>350506</v>
      </c>
      <c r="E614" t="str">
        <f>'PVC Presión'!G90</f>
        <v>PVC PRE FT CODO 90° 50 CEM I</v>
      </c>
      <c r="F614">
        <f>'PVC Presión'!H90</f>
        <v>10</v>
      </c>
      <c r="G614" t="str">
        <f>'PVC Presión'!I90</f>
        <v>Bolsa</v>
      </c>
      <c r="H614">
        <f>IFERROR(IF('PVC Presión'!J90="",0,'PVC Presión'!J90),0)</f>
        <v>0</v>
      </c>
      <c r="I614" s="58" t="str">
        <f>IF(H614&gt;0, MAX(I$1:I613)+1, "")</f>
        <v/>
      </c>
    </row>
    <row r="615" spans="1:9" x14ac:dyDescent="0.2">
      <c r="A615" t="s">
        <v>26</v>
      </c>
      <c r="B615" t="str">
        <f>'PVC Presión'!A91</f>
        <v>Conducción Fluidos</v>
      </c>
      <c r="C615" t="str">
        <f>'PVC Presión'!B91</f>
        <v>PVC PRESION / HIDRÁULICO</v>
      </c>
      <c r="D615">
        <f>'PVC Presión'!F91</f>
        <v>350507</v>
      </c>
      <c r="E615" t="str">
        <f>'PVC Presión'!G91</f>
        <v>PVC PRE FT CODO 90° 63 CEM I</v>
      </c>
      <c r="F615">
        <f>'PVC Presión'!H91</f>
        <v>9</v>
      </c>
      <c r="G615" t="str">
        <f>'PVC Presión'!I91</f>
        <v>Bolsa</v>
      </c>
      <c r="H615">
        <f>IFERROR(IF('PVC Presión'!J91="",0,'PVC Presión'!J91),0)</f>
        <v>0</v>
      </c>
      <c r="I615" s="58" t="str">
        <f>IF(H615&gt;0, MAX(I$1:I614)+1, "")</f>
        <v/>
      </c>
    </row>
    <row r="616" spans="1:9" x14ac:dyDescent="0.2">
      <c r="A616" t="s">
        <v>26</v>
      </c>
      <c r="B616" t="str">
        <f>'PVC Presión'!A92</f>
        <v>Conducción Fluidos</v>
      </c>
      <c r="C616" t="str">
        <f>'PVC Presión'!B92</f>
        <v>PVC PRESION / HIDRÁULICO</v>
      </c>
      <c r="D616">
        <f>'PVC Presión'!F92</f>
        <v>350511</v>
      </c>
      <c r="E616" t="str">
        <f>'PVC Presión'!G92</f>
        <v>PVC PRE FT CODO 90° 75 CEM I</v>
      </c>
      <c r="F616">
        <f>'PVC Presión'!H92</f>
        <v>1</v>
      </c>
      <c r="G616" t="str">
        <f>'PVC Presión'!I92</f>
        <v>Unitario</v>
      </c>
      <c r="H616">
        <f>IFERROR(IF('PVC Presión'!J92="",0,'PVC Presión'!J92),0)</f>
        <v>0</v>
      </c>
      <c r="I616" s="58" t="str">
        <f>IF(H616&gt;0, MAX(I$1:I615)+1, "")</f>
        <v/>
      </c>
    </row>
    <row r="617" spans="1:9" x14ac:dyDescent="0.2">
      <c r="A617" t="s">
        <v>26</v>
      </c>
      <c r="B617" t="str">
        <f>'PVC Presión'!A93</f>
        <v>Conducción Fluidos</v>
      </c>
      <c r="C617" t="str">
        <f>'PVC Presión'!B93</f>
        <v>PVC PRESION / HIDRÁULICO</v>
      </c>
      <c r="D617">
        <f>'PVC Presión'!F93</f>
        <v>350512</v>
      </c>
      <c r="E617" t="str">
        <f>'PVC Presión'!G93</f>
        <v>PVC PRE FT CODO 90° 90 CEM I</v>
      </c>
      <c r="F617">
        <f>'PVC Presión'!H93</f>
        <v>1</v>
      </c>
      <c r="G617" t="str">
        <f>'PVC Presión'!I93</f>
        <v>Unitario</v>
      </c>
      <c r="H617">
        <f>IFERROR(IF('PVC Presión'!J93="",0,'PVC Presión'!J93),0)</f>
        <v>0</v>
      </c>
      <c r="I617" s="58" t="str">
        <f>IF(H617&gt;0, MAX(I$1:I616)+1, "")</f>
        <v/>
      </c>
    </row>
    <row r="618" spans="1:9" x14ac:dyDescent="0.2">
      <c r="A618" t="s">
        <v>26</v>
      </c>
      <c r="B618" t="str">
        <f>'PVC Presión'!A94</f>
        <v>Conducción Fluidos</v>
      </c>
      <c r="C618" t="str">
        <f>'PVC Presión'!B94</f>
        <v>PVC PRESION / HIDRÁULICO</v>
      </c>
      <c r="D618">
        <f>'PVC Presión'!F94</f>
        <v>350508</v>
      </c>
      <c r="E618" t="str">
        <f>'PVC Presión'!G94</f>
        <v>PVC PRE FT CODO 90° 110 CEM I</v>
      </c>
      <c r="F618">
        <f>'PVC Presión'!H94</f>
        <v>1</v>
      </c>
      <c r="G618" t="str">
        <f>'PVC Presión'!I94</f>
        <v>Unitario</v>
      </c>
      <c r="H618">
        <f>IFERROR(IF('PVC Presión'!J94="",0,'PVC Presión'!J94),0)</f>
        <v>0</v>
      </c>
      <c r="I618" s="58" t="str">
        <f>IF(H618&gt;0, MAX(I$1:I617)+1, "")</f>
        <v/>
      </c>
    </row>
    <row r="619" spans="1:9" x14ac:dyDescent="0.2">
      <c r="A619" t="s">
        <v>26</v>
      </c>
      <c r="B619" t="str">
        <f>'PVC Presión'!A95</f>
        <v>Conducción Fluidos</v>
      </c>
      <c r="C619" t="str">
        <f>'PVC Presión'!B95</f>
        <v>PVC PRESION / HIDRÁULICO</v>
      </c>
      <c r="D619">
        <f>'PVC Presión'!F95</f>
        <v>350509</v>
      </c>
      <c r="E619" t="str">
        <f>'PVC Presión'!G95</f>
        <v>PVC PRE FT CODO 90° 125 CEM I</v>
      </c>
      <c r="F619">
        <f>'PVC Presión'!H95</f>
        <v>1</v>
      </c>
      <c r="G619" t="str">
        <f>'PVC Presión'!I95</f>
        <v>Unitario</v>
      </c>
      <c r="H619">
        <f>IFERROR(IF('PVC Presión'!J95="",0,'PVC Presión'!J95),0)</f>
        <v>0</v>
      </c>
      <c r="I619" s="58" t="str">
        <f>IF(H619&gt;0, MAX(I$1:I618)+1, "")</f>
        <v/>
      </c>
    </row>
    <row r="620" spans="1:9" x14ac:dyDescent="0.2">
      <c r="A620" t="s">
        <v>26</v>
      </c>
      <c r="B620" t="str">
        <f>'PVC Presión'!A96</f>
        <v>Conducción Fluidos</v>
      </c>
      <c r="C620" t="str">
        <f>'PVC Presión'!B96</f>
        <v>PVC PRESION / HIDRÁULICO</v>
      </c>
      <c r="D620">
        <f>'PVC Presión'!F96</f>
        <v>350510</v>
      </c>
      <c r="E620" t="str">
        <f>'PVC Presión'!G96</f>
        <v>PVC PRE FT CODO 90° 160 CEM I</v>
      </c>
      <c r="F620">
        <f>'PVC Presión'!H96</f>
        <v>1</v>
      </c>
      <c r="G620" t="str">
        <f>'PVC Presión'!I96</f>
        <v>Unitario</v>
      </c>
      <c r="H620">
        <f>IFERROR(IF('PVC Presión'!J96="",0,'PVC Presión'!J96),0)</f>
        <v>0</v>
      </c>
      <c r="I620" s="58" t="str">
        <f>IF(H620&gt;0, MAX(I$1:I619)+1, "")</f>
        <v/>
      </c>
    </row>
    <row r="621" spans="1:9" x14ac:dyDescent="0.2">
      <c r="A621" t="s">
        <v>26</v>
      </c>
      <c r="B621" t="str">
        <f>'PVC Presión'!A97</f>
        <v>Conducción Fluidos</v>
      </c>
      <c r="C621" t="str">
        <f>'PVC Presión'!B97</f>
        <v>PVC PRESION / HIDRÁULICO</v>
      </c>
      <c r="D621">
        <f>'PVC Presión'!F97</f>
        <v>350702</v>
      </c>
      <c r="E621" t="str">
        <f>'PVC Presión'!G97</f>
        <v>PVC PRE FT CODO 90° HI CEM 20 1/2' I</v>
      </c>
      <c r="F621">
        <f>'PVC Presión'!H97</f>
        <v>50</v>
      </c>
      <c r="G621" t="str">
        <f>'PVC Presión'!I97</f>
        <v>Bolsa</v>
      </c>
      <c r="H621">
        <f>IFERROR(IF('PVC Presión'!J97="",0,'PVC Presión'!J97),0)</f>
        <v>0</v>
      </c>
      <c r="I621" s="58" t="str">
        <f>IF(H621&gt;0, MAX(I$1:I620)+1, "")</f>
        <v/>
      </c>
    </row>
    <row r="622" spans="1:9" x14ac:dyDescent="0.2">
      <c r="A622" t="s">
        <v>26</v>
      </c>
      <c r="B622" t="str">
        <f>'PVC Presión'!A98</f>
        <v>Conducción Fluidos</v>
      </c>
      <c r="C622" t="str">
        <f>'PVC Presión'!B98</f>
        <v>PVC PRESION / HIDRÁULICO</v>
      </c>
      <c r="D622">
        <f>'PVC Presión'!F98</f>
        <v>350703</v>
      </c>
      <c r="E622" t="str">
        <f>'PVC Presión'!G98</f>
        <v>PVC PRE FT CODO 90° HI CEM 25 3/4' I</v>
      </c>
      <c r="F622">
        <f>'PVC Presión'!H98</f>
        <v>20</v>
      </c>
      <c r="G622" t="str">
        <f>'PVC Presión'!I98</f>
        <v>Bolsa</v>
      </c>
      <c r="H622">
        <f>IFERROR(IF('PVC Presión'!J98="",0,'PVC Presión'!J98),0)</f>
        <v>0</v>
      </c>
      <c r="I622" s="58" t="str">
        <f>IF(H622&gt;0, MAX(I$1:I621)+1, "")</f>
        <v/>
      </c>
    </row>
    <row r="623" spans="1:9" x14ac:dyDescent="0.2">
      <c r="A623" t="s">
        <v>26</v>
      </c>
      <c r="B623" t="str">
        <f>'PVC Presión'!A99</f>
        <v>Conducción Fluidos</v>
      </c>
      <c r="C623" t="str">
        <f>'PVC Presión'!B99</f>
        <v>PVC PRESION / HIDRÁULICO</v>
      </c>
      <c r="D623">
        <f>'PVC Presión'!F99</f>
        <v>350704</v>
      </c>
      <c r="E623" t="str">
        <f>'PVC Presión'!G99</f>
        <v>PVC PRE FT CODO 90° HI CEM 32 1' I</v>
      </c>
      <c r="F623">
        <f>'PVC Presión'!H99</f>
        <v>10</v>
      </c>
      <c r="G623" t="str">
        <f>'PVC Presión'!I99</f>
        <v>Bolsa</v>
      </c>
      <c r="H623">
        <f>IFERROR(IF('PVC Presión'!J99="",0,'PVC Presión'!J99),0)</f>
        <v>0</v>
      </c>
      <c r="I623" s="58" t="str">
        <f>IF(H623&gt;0, MAX(I$1:I622)+1, "")</f>
        <v/>
      </c>
    </row>
    <row r="624" spans="1:9" x14ac:dyDescent="0.2">
      <c r="A624" t="s">
        <v>26</v>
      </c>
      <c r="B624" t="str">
        <f>'PVC Presión'!A100</f>
        <v>Conducción Fluidos</v>
      </c>
      <c r="C624" t="str">
        <f>'PVC Presión'!B100</f>
        <v>PVC PRESION / HIDRÁULICO</v>
      </c>
      <c r="D624">
        <f>'PVC Presión'!F100</f>
        <v>351701</v>
      </c>
      <c r="E624" t="str">
        <f>'PVC Presión'!G100</f>
        <v>PVC PRE FT CODO 90° RED 25 20 I</v>
      </c>
      <c r="F624">
        <f>'PVC Presión'!H100</f>
        <v>40</v>
      </c>
      <c r="G624" t="str">
        <f>'PVC Presión'!I100</f>
        <v>Bolsa</v>
      </c>
      <c r="H624">
        <f>IFERROR(IF('PVC Presión'!J100="",0,'PVC Presión'!J100),0)</f>
        <v>0</v>
      </c>
      <c r="I624" s="58" t="str">
        <f>IF(H624&gt;0, MAX(I$1:I623)+1, "")</f>
        <v/>
      </c>
    </row>
    <row r="625" spans="1:9" x14ac:dyDescent="0.2">
      <c r="A625" t="s">
        <v>26</v>
      </c>
      <c r="B625" t="str">
        <f>'PVC Presión'!A101</f>
        <v>Conducción Fluidos</v>
      </c>
      <c r="C625" t="str">
        <f>'PVC Presión'!B101</f>
        <v>PVC PRESION / HIDRÁULICO</v>
      </c>
      <c r="D625">
        <f>'PVC Presión'!F101</f>
        <v>351702</v>
      </c>
      <c r="E625" t="str">
        <f>'PVC Presión'!G101</f>
        <v>PVC PRE FT CODO 90° RED 32 25 I</v>
      </c>
      <c r="F625">
        <f>'PVC Presión'!H101</f>
        <v>20</v>
      </c>
      <c r="G625" t="str">
        <f>'PVC Presión'!I101</f>
        <v>Bolsa</v>
      </c>
      <c r="H625">
        <f>IFERROR(IF('PVC Presión'!J101="",0,'PVC Presión'!J101),0)</f>
        <v>0</v>
      </c>
      <c r="I625" s="58" t="str">
        <f>IF(H625&gt;0, MAX(I$1:I624)+1, "")</f>
        <v/>
      </c>
    </row>
    <row r="626" spans="1:9" x14ac:dyDescent="0.2">
      <c r="A626" t="s">
        <v>26</v>
      </c>
      <c r="B626" t="str">
        <f>'PVC Presión'!A102</f>
        <v>Conducción Fluidos</v>
      </c>
      <c r="C626" t="str">
        <f>'PVC Presión'!B102</f>
        <v>PVC PRESION / HIDRÁULICO</v>
      </c>
      <c r="D626">
        <f>'PVC Presión'!F102</f>
        <v>351703</v>
      </c>
      <c r="E626" t="str">
        <f>'PVC Presión'!G102</f>
        <v>PVC PRE FT CODO 90° RED 40 32 I</v>
      </c>
      <c r="F626">
        <f>'PVC Presión'!H102</f>
        <v>12</v>
      </c>
      <c r="G626" t="str">
        <f>'PVC Presión'!I102</f>
        <v>Bolsa</v>
      </c>
      <c r="H626">
        <f>IFERROR(IF('PVC Presión'!J102="",0,'PVC Presión'!J102),0)</f>
        <v>0</v>
      </c>
      <c r="I626" s="58" t="str">
        <f>IF(H626&gt;0, MAX(I$1:I625)+1, "")</f>
        <v/>
      </c>
    </row>
    <row r="627" spans="1:9" x14ac:dyDescent="0.2">
      <c r="A627" t="s">
        <v>26</v>
      </c>
      <c r="B627" t="str">
        <f>'PVC Presión'!A103</f>
        <v>Conducción Fluidos</v>
      </c>
      <c r="C627" t="str">
        <f>'PVC Presión'!B103</f>
        <v>PVC PRESION / HIDRÁULICO</v>
      </c>
      <c r="D627">
        <f>'PVC Presión'!F103</f>
        <v>350302</v>
      </c>
      <c r="E627" t="str">
        <f>'PVC Presión'!G103</f>
        <v>PVC PRE FT TERMINAL HI CEM 20 1/2' I</v>
      </c>
      <c r="F627">
        <f>'PVC Presión'!H103</f>
        <v>50</v>
      </c>
      <c r="G627" t="str">
        <f>'PVC Presión'!I103</f>
        <v>Bolsa</v>
      </c>
      <c r="H627">
        <f>IFERROR(IF('PVC Presión'!J103="",0,'PVC Presión'!J103),0)</f>
        <v>0</v>
      </c>
      <c r="I627" s="58" t="str">
        <f>IF(H627&gt;0, MAX(I$1:I626)+1, "")</f>
        <v/>
      </c>
    </row>
    <row r="628" spans="1:9" x14ac:dyDescent="0.2">
      <c r="A628" t="s">
        <v>26</v>
      </c>
      <c r="B628" t="str">
        <f>'PVC Presión'!A104</f>
        <v>Conducción Fluidos</v>
      </c>
      <c r="C628" t="str">
        <f>'PVC Presión'!B104</f>
        <v>PVC PRESION / HIDRÁULICO</v>
      </c>
      <c r="D628">
        <f>'PVC Presión'!F104</f>
        <v>350303</v>
      </c>
      <c r="E628" t="str">
        <f>'PVC Presión'!G104</f>
        <v>PVC PRE FT TERMINAL HI CEM 25 3/4' I</v>
      </c>
      <c r="F628">
        <f>'PVC Presión'!H104</f>
        <v>30</v>
      </c>
      <c r="G628" t="str">
        <f>'PVC Presión'!I104</f>
        <v>Bolsa</v>
      </c>
      <c r="H628">
        <f>IFERROR(IF('PVC Presión'!J104="",0,'PVC Presión'!J104),0)</f>
        <v>0</v>
      </c>
      <c r="I628" s="58" t="str">
        <f>IF(H628&gt;0, MAX(I$1:I627)+1, "")</f>
        <v/>
      </c>
    </row>
    <row r="629" spans="1:9" x14ac:dyDescent="0.2">
      <c r="A629" t="s">
        <v>26</v>
      </c>
      <c r="B629" t="str">
        <f>'PVC Presión'!A105</f>
        <v>Conducción Fluidos</v>
      </c>
      <c r="C629" t="str">
        <f>'PVC Presión'!B105</f>
        <v>PVC PRESION / HIDRÁULICO</v>
      </c>
      <c r="D629">
        <f>'PVC Presión'!F105</f>
        <v>350304</v>
      </c>
      <c r="E629" t="str">
        <f>'PVC Presión'!G105</f>
        <v>PVC PRE FT TERMINAL HI CEM 32 1' I</v>
      </c>
      <c r="F629">
        <f>'PVC Presión'!H105</f>
        <v>15</v>
      </c>
      <c r="G629" t="str">
        <f>'PVC Presión'!I105</f>
        <v>Bolsa</v>
      </c>
      <c r="H629">
        <f>IFERROR(IF('PVC Presión'!J105="",0,'PVC Presión'!J105),0)</f>
        <v>0</v>
      </c>
      <c r="I629" s="58" t="str">
        <f>IF(H629&gt;0, MAX(I$1:I628)+1, "")</f>
        <v/>
      </c>
    </row>
    <row r="630" spans="1:9" x14ac:dyDescent="0.2">
      <c r="A630" t="s">
        <v>26</v>
      </c>
      <c r="B630" t="str">
        <f>'PVC Presión'!A106</f>
        <v>Conducción Fluidos</v>
      </c>
      <c r="C630" t="str">
        <f>'PVC Presión'!B106</f>
        <v>PVC PRESION / HIDRÁULICO</v>
      </c>
      <c r="D630">
        <f>'PVC Presión'!F106</f>
        <v>350305</v>
      </c>
      <c r="E630" t="str">
        <f>'PVC Presión'!G106</f>
        <v>PVC PRE FT TERMINAL HI CEM 40 1 1/4' I</v>
      </c>
      <c r="F630">
        <f>'PVC Presión'!H106</f>
        <v>12</v>
      </c>
      <c r="G630" t="str">
        <f>'PVC Presión'!I106</f>
        <v>Bolsa</v>
      </c>
      <c r="H630">
        <f>IFERROR(IF('PVC Presión'!J106="",0,'PVC Presión'!J106),0)</f>
        <v>0</v>
      </c>
      <c r="I630" s="58" t="str">
        <f>IF(H630&gt;0, MAX(I$1:I629)+1, "")</f>
        <v/>
      </c>
    </row>
    <row r="631" spans="1:9" x14ac:dyDescent="0.2">
      <c r="A631" t="s">
        <v>26</v>
      </c>
      <c r="B631" t="str">
        <f>'PVC Presión'!A107</f>
        <v>Conducción Fluidos</v>
      </c>
      <c r="C631" t="str">
        <f>'PVC Presión'!B107</f>
        <v>PVC PRESION / HIDRÁULICO</v>
      </c>
      <c r="D631">
        <f>'PVC Presión'!F107</f>
        <v>350306</v>
      </c>
      <c r="E631" t="str">
        <f>'PVC Presión'!G107</f>
        <v>PVC PRE FT TERMINAL HI CEM 50 1 1/2' I</v>
      </c>
      <c r="F631">
        <f>'PVC Presión'!H107</f>
        <v>5</v>
      </c>
      <c r="G631" t="str">
        <f>'PVC Presión'!I107</f>
        <v>Bolsa</v>
      </c>
      <c r="H631">
        <f>IFERROR(IF('PVC Presión'!J107="",0,'PVC Presión'!J107),0)</f>
        <v>0</v>
      </c>
      <c r="I631" s="58" t="str">
        <f>IF(H631&gt;0, MAX(I$1:I630)+1, "")</f>
        <v/>
      </c>
    </row>
    <row r="632" spans="1:9" x14ac:dyDescent="0.2">
      <c r="A632" t="s">
        <v>26</v>
      </c>
      <c r="B632" t="str">
        <f>'PVC Presión'!A108</f>
        <v>Conducción Fluidos</v>
      </c>
      <c r="C632" t="str">
        <f>'PVC Presión'!B108</f>
        <v>PVC PRESION / HIDRÁULICO</v>
      </c>
      <c r="D632">
        <f>'PVC Presión'!F108</f>
        <v>350307</v>
      </c>
      <c r="E632" t="str">
        <f>'PVC Presión'!G108</f>
        <v>PVC PRE FT TERMINAL HI CEM 63 2' I</v>
      </c>
      <c r="F632">
        <f>'PVC Presión'!H108</f>
        <v>1</v>
      </c>
      <c r="G632" t="str">
        <f>'PVC Presión'!I108</f>
        <v>Bolsa</v>
      </c>
      <c r="H632">
        <f>IFERROR(IF('PVC Presión'!J108="",0,'PVC Presión'!J108),0)</f>
        <v>0</v>
      </c>
      <c r="I632" s="58" t="str">
        <f>IF(H632&gt;0, MAX(I$1:I631)+1, "")</f>
        <v/>
      </c>
    </row>
    <row r="633" spans="1:9" x14ac:dyDescent="0.2">
      <c r="A633" t="s">
        <v>26</v>
      </c>
      <c r="B633" t="str">
        <f>'PVC Presión'!A109</f>
        <v>Conducción Fluidos</v>
      </c>
      <c r="C633" t="str">
        <f>'PVC Presión'!B109</f>
        <v>PVC PRESION / HIDRÁULICO</v>
      </c>
      <c r="D633">
        <f>'PVC Presión'!F109</f>
        <v>350308</v>
      </c>
      <c r="E633" t="str">
        <f>'PVC Presión'!G109</f>
        <v>PVC PRE TERMINAL HI CEM 75 X 2 1/2''</v>
      </c>
      <c r="F633">
        <f>'PVC Presión'!H109</f>
        <v>1</v>
      </c>
      <c r="G633" t="str">
        <f>'PVC Presión'!I109</f>
        <v>Unitario</v>
      </c>
      <c r="H633">
        <f>IFERROR(IF('PVC Presión'!J109="",0,'PVC Presión'!J109),0)</f>
        <v>0</v>
      </c>
      <c r="I633" s="58" t="str">
        <f>IF(H633&gt;0, MAX(I$1:I632)+1, "")</f>
        <v/>
      </c>
    </row>
    <row r="634" spans="1:9" x14ac:dyDescent="0.2">
      <c r="A634" t="s">
        <v>26</v>
      </c>
      <c r="B634" t="str">
        <f>'PVC Presión'!A110</f>
        <v>Conducción Fluidos</v>
      </c>
      <c r="C634" t="str">
        <f>'PVC Presión'!B110</f>
        <v>PVC PRESION / HIDRÁULICO</v>
      </c>
      <c r="D634">
        <f>'PVC Presión'!F110</f>
        <v>350309</v>
      </c>
      <c r="E634" t="str">
        <f>'PVC Presión'!G110</f>
        <v>PVC PRE FT TERMINAL HI CEM 90 X 3'' ' I</v>
      </c>
      <c r="F634">
        <f>'PVC Presión'!H110</f>
        <v>1</v>
      </c>
      <c r="G634" t="str">
        <f>'PVC Presión'!I110</f>
        <v>Unitario</v>
      </c>
      <c r="H634">
        <f>IFERROR(IF('PVC Presión'!J110="",0,'PVC Presión'!J110),0)</f>
        <v>0</v>
      </c>
      <c r="I634" s="58" t="str">
        <f>IF(H634&gt;0, MAX(I$1:I633)+1, "")</f>
        <v/>
      </c>
    </row>
    <row r="635" spans="1:9" x14ac:dyDescent="0.2">
      <c r="A635" t="s">
        <v>26</v>
      </c>
      <c r="B635" t="str">
        <f>'PVC Presión'!A111</f>
        <v>Conducción Fluidos</v>
      </c>
      <c r="C635" t="str">
        <f>'PVC Presión'!B111</f>
        <v>PVC PRESION / HIDRÁULICO</v>
      </c>
      <c r="D635">
        <f>'PVC Presión'!F111</f>
        <v>350310</v>
      </c>
      <c r="E635" t="str">
        <f>'PVC Presión'!G111</f>
        <v>PVC PRE FT TERMINAL HI CEM 110 4' I</v>
      </c>
      <c r="F635">
        <f>'PVC Presión'!H111</f>
        <v>1</v>
      </c>
      <c r="G635" t="str">
        <f>'PVC Presión'!I111</f>
        <v>Unitario</v>
      </c>
      <c r="H635">
        <f>IFERROR(IF('PVC Presión'!J111="",0,'PVC Presión'!J111),0)</f>
        <v>0</v>
      </c>
      <c r="I635" s="58" t="str">
        <f>IF(H635&gt;0, MAX(I$1:I634)+1, "")</f>
        <v/>
      </c>
    </row>
    <row r="636" spans="1:9" x14ac:dyDescent="0.2">
      <c r="A636" t="s">
        <v>26</v>
      </c>
      <c r="B636" t="str">
        <f>'PVC Presión'!A112</f>
        <v>Conducción Fluidos</v>
      </c>
      <c r="C636" t="str">
        <f>'PVC Presión'!B112</f>
        <v>PVC PRESION / HIDRÁULICO</v>
      </c>
      <c r="D636">
        <f>'PVC Presión'!F112</f>
        <v>350202</v>
      </c>
      <c r="E636" t="str">
        <f>'PVC Presión'!G112</f>
        <v>PVC PRE FT TERMINAL HE CEM 20 1/2' I</v>
      </c>
      <c r="F636">
        <f>'PVC Presión'!H112</f>
        <v>30</v>
      </c>
      <c r="G636" t="str">
        <f>'PVC Presión'!I112</f>
        <v>Bolsa</v>
      </c>
      <c r="H636">
        <f>IFERROR(IF('PVC Presión'!J112="",0,'PVC Presión'!J112),0)</f>
        <v>0</v>
      </c>
      <c r="I636" s="58" t="str">
        <f>IF(H636&gt;0, MAX(I$1:I635)+1, "")</f>
        <v/>
      </c>
    </row>
    <row r="637" spans="1:9" x14ac:dyDescent="0.2">
      <c r="A637" t="s">
        <v>26</v>
      </c>
      <c r="B637" t="str">
        <f>'PVC Presión'!A113</f>
        <v>Conducción Fluidos</v>
      </c>
      <c r="C637" t="str">
        <f>'PVC Presión'!B113</f>
        <v>PVC PRESION / HIDRÁULICO</v>
      </c>
      <c r="D637">
        <f>'PVC Presión'!F113</f>
        <v>350203</v>
      </c>
      <c r="E637" t="str">
        <f>'PVC Presión'!G113</f>
        <v>PVC PRE FT TERMINAL HE CEM 25 3/4' I</v>
      </c>
      <c r="F637">
        <f>'PVC Presión'!H113</f>
        <v>20</v>
      </c>
      <c r="G637" t="str">
        <f>'PVC Presión'!I113</f>
        <v>Bolsa</v>
      </c>
      <c r="H637">
        <f>IFERROR(IF('PVC Presión'!J113="",0,'PVC Presión'!J113),0)</f>
        <v>0</v>
      </c>
      <c r="I637" s="58" t="str">
        <f>IF(H637&gt;0, MAX(I$1:I636)+1, "")</f>
        <v/>
      </c>
    </row>
    <row r="638" spans="1:9" x14ac:dyDescent="0.2">
      <c r="A638" t="s">
        <v>26</v>
      </c>
      <c r="B638" t="str">
        <f>'PVC Presión'!A114</f>
        <v>Conducción Fluidos</v>
      </c>
      <c r="C638" t="str">
        <f>'PVC Presión'!B114</f>
        <v>PVC PRESION / HIDRÁULICO</v>
      </c>
      <c r="D638">
        <f>'PVC Presión'!F114</f>
        <v>350204</v>
      </c>
      <c r="E638" t="str">
        <f>'PVC Presión'!G114</f>
        <v>PVC PRE FT TERMINAL HE CEM 32 1' I</v>
      </c>
      <c r="F638">
        <f>'PVC Presión'!H114</f>
        <v>20</v>
      </c>
      <c r="G638" t="str">
        <f>'PVC Presión'!I114</f>
        <v>Bolsa</v>
      </c>
      <c r="H638">
        <f>IFERROR(IF('PVC Presión'!J114="",0,'PVC Presión'!J114),0)</f>
        <v>0</v>
      </c>
      <c r="I638" s="58" t="str">
        <f>IF(H638&gt;0, MAX(I$1:I637)+1, "")</f>
        <v/>
      </c>
    </row>
    <row r="639" spans="1:9" x14ac:dyDescent="0.2">
      <c r="A639" t="s">
        <v>26</v>
      </c>
      <c r="B639" t="str">
        <f>'PVC Presión'!A115</f>
        <v>Conducción Fluidos</v>
      </c>
      <c r="C639" t="str">
        <f>'PVC Presión'!B115</f>
        <v>PVC PRESION / HIDRÁULICO</v>
      </c>
      <c r="D639">
        <f>'PVC Presión'!F115</f>
        <v>350205</v>
      </c>
      <c r="E639" t="str">
        <f>'PVC Presión'!G115</f>
        <v>PVC PRE FT TERMINAL HE CEM 40 1 1/4' I</v>
      </c>
      <c r="F639">
        <f>'PVC Presión'!H115</f>
        <v>15</v>
      </c>
      <c r="G639" t="str">
        <f>'PVC Presión'!I115</f>
        <v>Bolsa</v>
      </c>
      <c r="H639">
        <f>IFERROR(IF('PVC Presión'!J115="",0,'PVC Presión'!J115),0)</f>
        <v>0</v>
      </c>
      <c r="I639" s="58" t="str">
        <f>IF(H639&gt;0, MAX(I$1:I638)+1, "")</f>
        <v/>
      </c>
    </row>
    <row r="640" spans="1:9" x14ac:dyDescent="0.2">
      <c r="A640" t="s">
        <v>26</v>
      </c>
      <c r="B640" t="str">
        <f>'PVC Presión'!A116</f>
        <v>Conducción Fluidos</v>
      </c>
      <c r="C640" t="str">
        <f>'PVC Presión'!B116</f>
        <v>PVC PRESION / HIDRÁULICO</v>
      </c>
      <c r="D640">
        <f>'PVC Presión'!F116</f>
        <v>350206</v>
      </c>
      <c r="E640" t="str">
        <f>'PVC Presión'!G116</f>
        <v>PVC PRE FT TERMINAL HE CEM 50 1 1/2' I</v>
      </c>
      <c r="F640">
        <f>'PVC Presión'!H116</f>
        <v>10</v>
      </c>
      <c r="G640" t="str">
        <f>'PVC Presión'!I116</f>
        <v>Bolsa</v>
      </c>
      <c r="H640">
        <f>IFERROR(IF('PVC Presión'!J116="",0,'PVC Presión'!J116),0)</f>
        <v>0</v>
      </c>
      <c r="I640" s="58" t="str">
        <f>IF(H640&gt;0, MAX(I$1:I639)+1, "")</f>
        <v/>
      </c>
    </row>
    <row r="641" spans="1:9" x14ac:dyDescent="0.2">
      <c r="A641" t="s">
        <v>26</v>
      </c>
      <c r="B641" t="str">
        <f>'PVC Presión'!A117</f>
        <v>Conducción Fluidos</v>
      </c>
      <c r="C641" t="str">
        <f>'PVC Presión'!B117</f>
        <v>PVC PRESION / HIDRÁULICO</v>
      </c>
      <c r="D641">
        <f>'PVC Presión'!F117</f>
        <v>350207</v>
      </c>
      <c r="E641" t="str">
        <f>'PVC Presión'!G117</f>
        <v>PVC PRE FT TERMINAL HE CEM 63 2' I</v>
      </c>
      <c r="F641">
        <f>'PVC Presión'!H117</f>
        <v>10</v>
      </c>
      <c r="G641" t="str">
        <f>'PVC Presión'!I117</f>
        <v>Bolsa</v>
      </c>
      <c r="H641">
        <f>IFERROR(IF('PVC Presión'!J117="",0,'PVC Presión'!J117),0)</f>
        <v>0</v>
      </c>
      <c r="I641" s="58" t="str">
        <f>IF(H641&gt;0, MAX(I$1:I640)+1, "")</f>
        <v/>
      </c>
    </row>
    <row r="642" spans="1:9" x14ac:dyDescent="0.2">
      <c r="A642" t="s">
        <v>26</v>
      </c>
      <c r="B642" t="str">
        <f>'PVC Presión'!A118</f>
        <v>Conducción Fluidos</v>
      </c>
      <c r="C642" t="str">
        <f>'PVC Presión'!B118</f>
        <v>PVC PRESION / HIDRÁULICO</v>
      </c>
      <c r="D642">
        <f>'PVC Presión'!F118</f>
        <v>350208</v>
      </c>
      <c r="E642" t="str">
        <f>'PVC Presión'!G118</f>
        <v>PVC PRE TERMINAL HE CEM 75 X 2 1/2''</v>
      </c>
      <c r="F642">
        <f>'PVC Presión'!H118</f>
        <v>1</v>
      </c>
      <c r="G642" t="str">
        <f>'PVC Presión'!I118</f>
        <v>Unitario</v>
      </c>
      <c r="H642">
        <f>IFERROR(IF('PVC Presión'!J118="",0,'PVC Presión'!J118),0)</f>
        <v>0</v>
      </c>
      <c r="I642" s="58" t="str">
        <f>IF(H642&gt;0, MAX(I$1:I641)+1, "")</f>
        <v/>
      </c>
    </row>
    <row r="643" spans="1:9" x14ac:dyDescent="0.2">
      <c r="A643" t="s">
        <v>26</v>
      </c>
      <c r="B643" t="str">
        <f>'PVC Presión'!A119</f>
        <v>Conducción Fluidos</v>
      </c>
      <c r="C643" t="str">
        <f>'PVC Presión'!B119</f>
        <v>PVC PRESION / HIDRÁULICO</v>
      </c>
      <c r="D643">
        <f>'PVC Presión'!F119</f>
        <v>350209</v>
      </c>
      <c r="E643" t="str">
        <f>'PVC Presión'!G119</f>
        <v>PVC PRE FT TERMINAL HE CEM 90 X 3 '' ' I</v>
      </c>
      <c r="F643">
        <f>'PVC Presión'!H119</f>
        <v>1</v>
      </c>
      <c r="G643" t="str">
        <f>'PVC Presión'!I119</f>
        <v>Unitario</v>
      </c>
      <c r="H643">
        <f>IFERROR(IF('PVC Presión'!J119="",0,'PVC Presión'!J119),0)</f>
        <v>0</v>
      </c>
      <c r="I643" s="58" t="str">
        <f>IF(H643&gt;0, MAX(I$1:I642)+1, "")</f>
        <v/>
      </c>
    </row>
    <row r="644" spans="1:9" x14ac:dyDescent="0.2">
      <c r="A644" t="s">
        <v>26</v>
      </c>
      <c r="B644" t="str">
        <f>'PVC Presión'!A120</f>
        <v>Conducción Fluidos</v>
      </c>
      <c r="C644" t="str">
        <f>'PVC Presión'!B120</f>
        <v>PVC PRESION / HIDRÁULICO</v>
      </c>
      <c r="D644">
        <f>'PVC Presión'!F120</f>
        <v>350210</v>
      </c>
      <c r="E644" t="str">
        <f>'PVC Presión'!G120</f>
        <v>PVC PRE TERMINAL HE CEM 110 X 4''</v>
      </c>
      <c r="F644">
        <f>'PVC Presión'!H120</f>
        <v>1</v>
      </c>
      <c r="G644" t="str">
        <f>'PVC Presión'!I120</f>
        <v>Unitario</v>
      </c>
      <c r="H644">
        <f>IFERROR(IF('PVC Presión'!J120="",0,'PVC Presión'!J120),0)</f>
        <v>0</v>
      </c>
      <c r="I644" s="58" t="str">
        <f>IF(H644&gt;0, MAX(I$1:I643)+1, "")</f>
        <v/>
      </c>
    </row>
    <row r="645" spans="1:9" x14ac:dyDescent="0.2">
      <c r="A645" t="s">
        <v>26</v>
      </c>
      <c r="B645" t="str">
        <f>'PVC Presión'!A121</f>
        <v>Conducción Fluidos</v>
      </c>
      <c r="C645" t="str">
        <f>'PVC Presión'!B121</f>
        <v>PVC PRESION / HIDRÁULICO</v>
      </c>
      <c r="D645">
        <f>'PVC Presión'!F121</f>
        <v>350102</v>
      </c>
      <c r="E645" t="str">
        <f>'PVC Presión'!G121</f>
        <v>PVC PRE FT COPLA 20 CEM I</v>
      </c>
      <c r="F645">
        <f>'PVC Presión'!H121</f>
        <v>60</v>
      </c>
      <c r="G645" t="str">
        <f>'PVC Presión'!I121</f>
        <v>Bolsa</v>
      </c>
      <c r="H645">
        <f>IFERROR(IF('PVC Presión'!J121="",0,'PVC Presión'!J121),0)</f>
        <v>0</v>
      </c>
      <c r="I645" s="58" t="str">
        <f>IF(H645&gt;0, MAX(I$1:I644)+1, "")</f>
        <v/>
      </c>
    </row>
    <row r="646" spans="1:9" x14ac:dyDescent="0.2">
      <c r="A646" t="s">
        <v>26</v>
      </c>
      <c r="B646" t="str">
        <f>'PVC Presión'!A122</f>
        <v>Conducción Fluidos</v>
      </c>
      <c r="C646" t="str">
        <f>'PVC Presión'!B122</f>
        <v>PVC PRESION / HIDRÁULICO</v>
      </c>
      <c r="D646">
        <f>'PVC Presión'!F122</f>
        <v>350103</v>
      </c>
      <c r="E646" t="str">
        <f>'PVC Presión'!G122</f>
        <v>PVC PRE FT COPLA 25 CEM I</v>
      </c>
      <c r="F646">
        <f>'PVC Presión'!H122</f>
        <v>34</v>
      </c>
      <c r="G646" t="str">
        <f>'PVC Presión'!I122</f>
        <v>Bolsa</v>
      </c>
      <c r="H646">
        <f>IFERROR(IF('PVC Presión'!J122="",0,'PVC Presión'!J122),0)</f>
        <v>0</v>
      </c>
      <c r="I646" s="58" t="str">
        <f>IF(H646&gt;0, MAX(I$1:I645)+1, "")</f>
        <v/>
      </c>
    </row>
    <row r="647" spans="1:9" x14ac:dyDescent="0.2">
      <c r="A647" t="s">
        <v>26</v>
      </c>
      <c r="B647" t="str">
        <f>'PVC Presión'!A123</f>
        <v>Conducción Fluidos</v>
      </c>
      <c r="C647" t="str">
        <f>'PVC Presión'!B123</f>
        <v>PVC PRESION / HIDRÁULICO</v>
      </c>
      <c r="D647">
        <f>'PVC Presión'!F123</f>
        <v>350104</v>
      </c>
      <c r="E647" t="str">
        <f>'PVC Presión'!G123</f>
        <v>PVC PRE FT COPLA 32 CEM I</v>
      </c>
      <c r="F647">
        <f>'PVC Presión'!H123</f>
        <v>40</v>
      </c>
      <c r="G647" t="str">
        <f>'PVC Presión'!I123</f>
        <v>Bolsa</v>
      </c>
      <c r="H647">
        <f>IFERROR(IF('PVC Presión'!J123="",0,'PVC Presión'!J123),0)</f>
        <v>0</v>
      </c>
      <c r="I647" s="58" t="str">
        <f>IF(H647&gt;0, MAX(I$1:I646)+1, "")</f>
        <v/>
      </c>
    </row>
    <row r="648" spans="1:9" x14ac:dyDescent="0.2">
      <c r="A648" t="s">
        <v>26</v>
      </c>
      <c r="B648" t="str">
        <f>'PVC Presión'!A124</f>
        <v>Conducción Fluidos</v>
      </c>
      <c r="C648" t="str">
        <f>'PVC Presión'!B124</f>
        <v>PVC PRESION / HIDRÁULICO</v>
      </c>
      <c r="D648">
        <f>'PVC Presión'!F124</f>
        <v>350105</v>
      </c>
      <c r="E648" t="str">
        <f>'PVC Presión'!G124</f>
        <v>PVC PRE FT COPLA 40 CEM I</v>
      </c>
      <c r="F648">
        <f>'PVC Presión'!H124</f>
        <v>20</v>
      </c>
      <c r="G648" t="str">
        <f>'PVC Presión'!I124</f>
        <v>Bolsa</v>
      </c>
      <c r="H648">
        <f>IFERROR(IF('PVC Presión'!J124="",0,'PVC Presión'!J124),0)</f>
        <v>0</v>
      </c>
      <c r="I648" s="58" t="str">
        <f>IF(H648&gt;0, MAX(I$1:I647)+1, "")</f>
        <v/>
      </c>
    </row>
    <row r="649" spans="1:9" x14ac:dyDescent="0.2">
      <c r="A649" t="s">
        <v>26</v>
      </c>
      <c r="B649" t="str">
        <f>'PVC Presión'!A125</f>
        <v>Conducción Fluidos</v>
      </c>
      <c r="C649" t="str">
        <f>'PVC Presión'!B125</f>
        <v>PVC PRESION / HIDRÁULICO</v>
      </c>
      <c r="D649">
        <f>'PVC Presión'!F125</f>
        <v>350106</v>
      </c>
      <c r="E649" t="str">
        <f>'PVC Presión'!G125</f>
        <v>PVC PRE FT COPLA 50 CEM I</v>
      </c>
      <c r="F649">
        <f>'PVC Presión'!H125</f>
        <v>10</v>
      </c>
      <c r="G649" t="str">
        <f>'PVC Presión'!I125</f>
        <v>Bolsa</v>
      </c>
      <c r="H649">
        <f>IFERROR(IF('PVC Presión'!J125="",0,'PVC Presión'!J125),0)</f>
        <v>0</v>
      </c>
      <c r="I649" s="58" t="str">
        <f>IF(H649&gt;0, MAX(I$1:I648)+1, "")</f>
        <v/>
      </c>
    </row>
    <row r="650" spans="1:9" x14ac:dyDescent="0.2">
      <c r="A650" t="s">
        <v>26</v>
      </c>
      <c r="B650" t="str">
        <f>'PVC Presión'!A126</f>
        <v>Conducción Fluidos</v>
      </c>
      <c r="C650" t="str">
        <f>'PVC Presión'!B126</f>
        <v>PVC PRESION / HIDRÁULICO</v>
      </c>
      <c r="D650">
        <f>'PVC Presión'!F126</f>
        <v>350107</v>
      </c>
      <c r="E650" t="str">
        <f>'PVC Presión'!G126</f>
        <v>PVC PRE FT COPLA 63 CEM I</v>
      </c>
      <c r="F650">
        <f>'PVC Presión'!H126</f>
        <v>10</v>
      </c>
      <c r="G650" t="str">
        <f>'PVC Presión'!I126</f>
        <v>Bolsa</v>
      </c>
      <c r="H650">
        <f>IFERROR(IF('PVC Presión'!J126="",0,'PVC Presión'!J126),0)</f>
        <v>0</v>
      </c>
      <c r="I650" s="58" t="str">
        <f>IF(H650&gt;0, MAX(I$1:I649)+1, "")</f>
        <v/>
      </c>
    </row>
    <row r="651" spans="1:9" x14ac:dyDescent="0.2">
      <c r="A651" t="s">
        <v>26</v>
      </c>
      <c r="B651" t="str">
        <f>'PVC Presión'!A127</f>
        <v>Conducción Fluidos</v>
      </c>
      <c r="C651" t="str">
        <f>'PVC Presión'!B127</f>
        <v>PVC PRESION / HIDRÁULICO</v>
      </c>
      <c r="D651">
        <f>'PVC Presión'!F127</f>
        <v>350108</v>
      </c>
      <c r="E651" t="str">
        <f>'PVC Presión'!G127</f>
        <v>PVC PRE FT COPLA 75 CEM I</v>
      </c>
      <c r="F651">
        <f>'PVC Presión'!H127</f>
        <v>1</v>
      </c>
      <c r="G651" t="str">
        <f>'PVC Presión'!I127</f>
        <v>Unitario</v>
      </c>
      <c r="H651">
        <f>IFERROR(IF('PVC Presión'!J127="",0,'PVC Presión'!J127),0)</f>
        <v>0</v>
      </c>
      <c r="I651" s="58" t="str">
        <f>IF(H651&gt;0, MAX(I$1:I650)+1, "")</f>
        <v/>
      </c>
    </row>
    <row r="652" spans="1:9" x14ac:dyDescent="0.2">
      <c r="A652" t="s">
        <v>26</v>
      </c>
      <c r="B652" t="str">
        <f>'PVC Presión'!A128</f>
        <v>Conducción Fluidos</v>
      </c>
      <c r="C652" t="str">
        <f>'PVC Presión'!B128</f>
        <v>PVC PRESION / HIDRÁULICO</v>
      </c>
      <c r="D652">
        <f>'PVC Presión'!F128</f>
        <v>350109</v>
      </c>
      <c r="E652" t="str">
        <f>'PVC Presión'!G128</f>
        <v>PVC PRE FT COPLA 90 CEM I</v>
      </c>
      <c r="F652">
        <f>'PVC Presión'!H128</f>
        <v>1</v>
      </c>
      <c r="G652" t="str">
        <f>'PVC Presión'!I128</f>
        <v>Unitario</v>
      </c>
      <c r="H652">
        <f>IFERROR(IF('PVC Presión'!J128="",0,'PVC Presión'!J128),0)</f>
        <v>0</v>
      </c>
      <c r="I652" s="58" t="str">
        <f>IF(H652&gt;0, MAX(I$1:I651)+1, "")</f>
        <v/>
      </c>
    </row>
    <row r="653" spans="1:9" x14ac:dyDescent="0.2">
      <c r="A653" t="s">
        <v>26</v>
      </c>
      <c r="B653" t="str">
        <f>'PVC Presión'!A129</f>
        <v>Conducción Fluidos</v>
      </c>
      <c r="C653" t="str">
        <f>'PVC Presión'!B129</f>
        <v>PVC PRESION / HIDRÁULICO</v>
      </c>
      <c r="D653">
        <f>'PVC Presión'!F129</f>
        <v>350110</v>
      </c>
      <c r="E653" t="str">
        <f>'PVC Presión'!G129</f>
        <v>PVC PRE FT COPLA 110 CEM I</v>
      </c>
      <c r="F653">
        <f>'PVC Presión'!H129</f>
        <v>1</v>
      </c>
      <c r="G653" t="str">
        <f>'PVC Presión'!I129</f>
        <v>Unitario</v>
      </c>
      <c r="H653">
        <f>IFERROR(IF('PVC Presión'!J129="",0,'PVC Presión'!J129),0)</f>
        <v>0</v>
      </c>
      <c r="I653" s="58" t="str">
        <f>IF(H653&gt;0, MAX(I$1:I652)+1, "")</f>
        <v/>
      </c>
    </row>
    <row r="654" spans="1:9" x14ac:dyDescent="0.2">
      <c r="A654" t="s">
        <v>26</v>
      </c>
      <c r="B654" t="str">
        <f>'PVC Presión'!A130</f>
        <v>Conducción Fluidos</v>
      </c>
      <c r="C654" t="str">
        <f>'PVC Presión'!B130</f>
        <v>PVC PRESION / HIDRÁULICO</v>
      </c>
      <c r="D654">
        <f>'PVC Presión'!F130</f>
        <v>350111</v>
      </c>
      <c r="E654" t="str">
        <f>'PVC Presión'!G130</f>
        <v>PVC PRE FT COPLA 125 CEM I</v>
      </c>
      <c r="F654">
        <f>'PVC Presión'!H130</f>
        <v>1</v>
      </c>
      <c r="G654" t="str">
        <f>'PVC Presión'!I130</f>
        <v>Unitario</v>
      </c>
      <c r="H654">
        <f>IFERROR(IF('PVC Presión'!J130="",0,'PVC Presión'!J130),0)</f>
        <v>0</v>
      </c>
      <c r="I654" s="58" t="str">
        <f>IF(H654&gt;0, MAX(I$1:I653)+1, "")</f>
        <v/>
      </c>
    </row>
    <row r="655" spans="1:9" x14ac:dyDescent="0.2">
      <c r="A655" t="s">
        <v>26</v>
      </c>
      <c r="B655" t="str">
        <f>'PVC Presión'!A131</f>
        <v>Conducción Fluidos</v>
      </c>
      <c r="C655" t="str">
        <f>'PVC Presión'!B131</f>
        <v>PVC PRESION / HIDRÁULICO</v>
      </c>
      <c r="D655">
        <f>'PVC Presión'!F131</f>
        <v>350112</v>
      </c>
      <c r="E655" t="str">
        <f>'PVC Presión'!G131</f>
        <v>PVC PRE FT COPLA 160 CEM I</v>
      </c>
      <c r="F655">
        <f>'PVC Presión'!H131</f>
        <v>1</v>
      </c>
      <c r="G655" t="str">
        <f>'PVC Presión'!I131</f>
        <v>Unitario</v>
      </c>
      <c r="H655">
        <f>IFERROR(IF('PVC Presión'!J131="",0,'PVC Presión'!J131),0)</f>
        <v>0</v>
      </c>
      <c r="I655" s="58" t="str">
        <f>IF(H655&gt;0, MAX(I$1:I654)+1, "")</f>
        <v/>
      </c>
    </row>
    <row r="656" spans="1:9" x14ac:dyDescent="0.2">
      <c r="A656" t="s">
        <v>26</v>
      </c>
      <c r="B656" t="str">
        <f>'PVC Presión'!A132</f>
        <v>Conducción Fluidos</v>
      </c>
      <c r="C656" t="str">
        <f>'PVC Presión'!B132</f>
        <v>PVC PRESION / HIDRÁULICO</v>
      </c>
      <c r="D656">
        <f>'PVC Presión'!F132</f>
        <v>350113</v>
      </c>
      <c r="E656" t="str">
        <f>'PVC Presión'!G132</f>
        <v>PVC PRE FT COPLA 200 CEM I</v>
      </c>
      <c r="F656">
        <f>'PVC Presión'!H132</f>
        <v>1</v>
      </c>
      <c r="G656" t="str">
        <f>'PVC Presión'!I132</f>
        <v>Unitario</v>
      </c>
      <c r="H656">
        <f>IFERROR(IF('PVC Presión'!J132="",0,'PVC Presión'!J132),0)</f>
        <v>0</v>
      </c>
      <c r="I656" s="58" t="str">
        <f>IF(H656&gt;0, MAX(I$1:I655)+1, "")</f>
        <v/>
      </c>
    </row>
    <row r="657" spans="1:9" x14ac:dyDescent="0.2">
      <c r="A657" t="s">
        <v>26</v>
      </c>
      <c r="B657" t="str">
        <f>'PVC Presión'!A133</f>
        <v>Conducción Fluidos</v>
      </c>
      <c r="C657" t="str">
        <f>'PVC Presión'!B133</f>
        <v>PVC PRESION / HIDRÁULICO</v>
      </c>
      <c r="D657">
        <f>'PVC Presión'!F133</f>
        <v>350121</v>
      </c>
      <c r="E657" t="str">
        <f>'PVC Presión'!G133</f>
        <v>PVC PRE FT COPLA HI HI 1/2 I</v>
      </c>
      <c r="F657">
        <f>'PVC Presión'!H133</f>
        <v>36</v>
      </c>
      <c r="G657" t="str">
        <f>'PVC Presión'!I133</f>
        <v>Bolsa</v>
      </c>
      <c r="H657">
        <f>IFERROR(IF('PVC Presión'!J133="",0,'PVC Presión'!J133),0)</f>
        <v>0</v>
      </c>
      <c r="I657" s="58" t="str">
        <f>IF(H657&gt;0, MAX(I$1:I656)+1, "")</f>
        <v/>
      </c>
    </row>
    <row r="658" spans="1:9" x14ac:dyDescent="0.2">
      <c r="A658" t="s">
        <v>26</v>
      </c>
      <c r="B658" t="str">
        <f>'PVC Presión'!A134</f>
        <v>Conducción Fluidos</v>
      </c>
      <c r="C658" t="str">
        <f>'PVC Presión'!B134</f>
        <v>PVC PRESION / HIDRÁULICO</v>
      </c>
      <c r="D658">
        <f>'PVC Presión'!F134</f>
        <v>350122</v>
      </c>
      <c r="E658" t="str">
        <f>'PVC Presión'!G134</f>
        <v>PVC PRE FT COPLA HI HI 3/4 I</v>
      </c>
      <c r="F658">
        <f>'PVC Presión'!H134</f>
        <v>25</v>
      </c>
      <c r="G658" t="str">
        <f>'PVC Presión'!I134</f>
        <v>Bolsa</v>
      </c>
      <c r="H658">
        <f>IFERROR(IF('PVC Presión'!J134="",0,'PVC Presión'!J134),0)</f>
        <v>0</v>
      </c>
      <c r="I658" s="58" t="str">
        <f>IF(H658&gt;0, MAX(I$1:I657)+1, "")</f>
        <v/>
      </c>
    </row>
    <row r="659" spans="1:9" x14ac:dyDescent="0.2">
      <c r="A659" t="s">
        <v>26</v>
      </c>
      <c r="B659" t="str">
        <f>'PVC Presión'!A135</f>
        <v>Conducción Fluidos</v>
      </c>
      <c r="C659" t="str">
        <f>'PVC Presión'!B135</f>
        <v>PVC PRESION / HIDRÁULICO</v>
      </c>
      <c r="D659">
        <f>'PVC Presión'!F135</f>
        <v>350123</v>
      </c>
      <c r="E659" t="str">
        <f>'PVC Presión'!G135</f>
        <v>PVC PRE FT COPLA HI HI 1 I</v>
      </c>
      <c r="F659">
        <f>'PVC Presión'!H135</f>
        <v>10</v>
      </c>
      <c r="G659" t="str">
        <f>'PVC Presión'!I135</f>
        <v>Bolsa</v>
      </c>
      <c r="H659">
        <f>IFERROR(IF('PVC Presión'!J135="",0,'PVC Presión'!J135),0)</f>
        <v>0</v>
      </c>
      <c r="I659" s="58" t="str">
        <f>IF(H659&gt;0, MAX(I$1:I658)+1, "")</f>
        <v/>
      </c>
    </row>
    <row r="660" spans="1:9" x14ac:dyDescent="0.2">
      <c r="A660" t="s">
        <v>26</v>
      </c>
      <c r="B660" t="str">
        <f>'PVC Presión'!A136</f>
        <v>Conducción Fluidos</v>
      </c>
      <c r="C660" t="str">
        <f>'PVC Presión'!B136</f>
        <v>PVC PRESION / HIDRÁULICO</v>
      </c>
      <c r="D660">
        <f>'PVC Presión'!F136</f>
        <v>350402</v>
      </c>
      <c r="E660" t="str">
        <f>'PVC Presión'!G136</f>
        <v>PVC PRE FT TEE 20 CEM I</v>
      </c>
      <c r="F660">
        <f>'PVC Presión'!H136</f>
        <v>65</v>
      </c>
      <c r="G660" t="str">
        <f>'PVC Presión'!I136</f>
        <v>Bolsa</v>
      </c>
      <c r="H660">
        <f>IFERROR(IF('PVC Presión'!J136="",0,'PVC Presión'!J136),0)</f>
        <v>0</v>
      </c>
      <c r="I660" s="58" t="str">
        <f>IF(H660&gt;0, MAX(I$1:I659)+1, "")</f>
        <v/>
      </c>
    </row>
    <row r="661" spans="1:9" x14ac:dyDescent="0.2">
      <c r="A661" t="s">
        <v>26</v>
      </c>
      <c r="B661" t="str">
        <f>'PVC Presión'!A137</f>
        <v>Conducción Fluidos</v>
      </c>
      <c r="C661" t="str">
        <f>'PVC Presión'!B137</f>
        <v>PVC PRESION / HIDRÁULICO</v>
      </c>
      <c r="D661">
        <f>'PVC Presión'!F137</f>
        <v>350403</v>
      </c>
      <c r="E661" t="str">
        <f>'PVC Presión'!G137</f>
        <v>PVC PRE FT TEE 25 CEM I</v>
      </c>
      <c r="F661">
        <f>'PVC Presión'!H137</f>
        <v>40</v>
      </c>
      <c r="G661" t="str">
        <f>'PVC Presión'!I137</f>
        <v>Bolsa</v>
      </c>
      <c r="H661">
        <f>IFERROR(IF('PVC Presión'!J137="",0,'PVC Presión'!J137),0)</f>
        <v>0</v>
      </c>
      <c r="I661" s="58" t="str">
        <f>IF(H661&gt;0, MAX(I$1:I660)+1, "")</f>
        <v/>
      </c>
    </row>
    <row r="662" spans="1:9" x14ac:dyDescent="0.2">
      <c r="A662" t="s">
        <v>26</v>
      </c>
      <c r="B662" t="str">
        <f>'PVC Presión'!A138</f>
        <v>Conducción Fluidos</v>
      </c>
      <c r="C662" t="str">
        <f>'PVC Presión'!B138</f>
        <v>PVC PRESION / HIDRÁULICO</v>
      </c>
      <c r="D662">
        <f>'PVC Presión'!F138</f>
        <v>350404</v>
      </c>
      <c r="E662" t="str">
        <f>'PVC Presión'!G138</f>
        <v>PVC PRE FT TEE 32 CEM I</v>
      </c>
      <c r="F662">
        <f>'PVC Presión'!H138</f>
        <v>20</v>
      </c>
      <c r="G662" t="str">
        <f>'PVC Presión'!I138</f>
        <v>Bolsa</v>
      </c>
      <c r="H662">
        <f>IFERROR(IF('PVC Presión'!J138="",0,'PVC Presión'!J138),0)</f>
        <v>0</v>
      </c>
      <c r="I662" s="58" t="str">
        <f>IF(H662&gt;0, MAX(I$1:I661)+1, "")</f>
        <v/>
      </c>
    </row>
    <row r="663" spans="1:9" x14ac:dyDescent="0.2">
      <c r="A663" t="s">
        <v>26</v>
      </c>
      <c r="B663" t="str">
        <f>'PVC Presión'!A139</f>
        <v>Conducción Fluidos</v>
      </c>
      <c r="C663" t="str">
        <f>'PVC Presión'!B139</f>
        <v>PVC PRESION / HIDRÁULICO</v>
      </c>
      <c r="D663">
        <f>'PVC Presión'!F139</f>
        <v>350405</v>
      </c>
      <c r="E663" t="str">
        <f>'PVC Presión'!G139</f>
        <v>PVC PRE FT TEE 40 CEM I</v>
      </c>
      <c r="F663">
        <f>'PVC Presión'!H139</f>
        <v>18</v>
      </c>
      <c r="G663" t="str">
        <f>'PVC Presión'!I139</f>
        <v>Bolsa</v>
      </c>
      <c r="H663">
        <f>IFERROR(IF('PVC Presión'!J139="",0,'PVC Presión'!J139),0)</f>
        <v>0</v>
      </c>
      <c r="I663" s="58" t="str">
        <f>IF(H663&gt;0, MAX(I$1:I662)+1, "")</f>
        <v/>
      </c>
    </row>
    <row r="664" spans="1:9" x14ac:dyDescent="0.2">
      <c r="A664" t="s">
        <v>26</v>
      </c>
      <c r="B664" t="str">
        <f>'PVC Presión'!A140</f>
        <v>Conducción Fluidos</v>
      </c>
      <c r="C664" t="str">
        <f>'PVC Presión'!B140</f>
        <v>PVC PRESION / HIDRÁULICO</v>
      </c>
      <c r="D664">
        <f>'PVC Presión'!F140</f>
        <v>350406</v>
      </c>
      <c r="E664" t="str">
        <f>'PVC Presión'!G140</f>
        <v>PVC PRE FT TEE 50 CEM I</v>
      </c>
      <c r="F664">
        <f>'PVC Presión'!H140</f>
        <v>10</v>
      </c>
      <c r="G664" t="str">
        <f>'PVC Presión'!I140</f>
        <v>Bolsa</v>
      </c>
      <c r="H664">
        <f>IFERROR(IF('PVC Presión'!J140="",0,'PVC Presión'!J140),0)</f>
        <v>0</v>
      </c>
      <c r="I664" s="58" t="str">
        <f>IF(H664&gt;0, MAX(I$1:I663)+1, "")</f>
        <v/>
      </c>
    </row>
    <row r="665" spans="1:9" x14ac:dyDescent="0.2">
      <c r="A665" t="s">
        <v>26</v>
      </c>
      <c r="B665" t="str">
        <f>'PVC Presión'!A141</f>
        <v>Conducción Fluidos</v>
      </c>
      <c r="C665" t="str">
        <f>'PVC Presión'!B141</f>
        <v>PVC PRESION / HIDRÁULICO</v>
      </c>
      <c r="D665">
        <f>'PVC Presión'!F141</f>
        <v>350407</v>
      </c>
      <c r="E665" t="str">
        <f>'PVC Presión'!G141</f>
        <v>PVC PRE FT TEE 63 CEM I</v>
      </c>
      <c r="F665">
        <f>'PVC Presión'!H141</f>
        <v>8</v>
      </c>
      <c r="G665" t="str">
        <f>'PVC Presión'!I141</f>
        <v>Bolsa</v>
      </c>
      <c r="H665">
        <f>IFERROR(IF('PVC Presión'!J141="",0,'PVC Presión'!J141),0)</f>
        <v>0</v>
      </c>
      <c r="I665" s="58" t="str">
        <f>IF(H665&gt;0, MAX(I$1:I664)+1, "")</f>
        <v/>
      </c>
    </row>
    <row r="666" spans="1:9" x14ac:dyDescent="0.2">
      <c r="A666" t="s">
        <v>26</v>
      </c>
      <c r="B666" t="str">
        <f>'PVC Presión'!A142</f>
        <v>Conducción Fluidos</v>
      </c>
      <c r="C666" t="str">
        <f>'PVC Presión'!B142</f>
        <v>PVC PRESION / HIDRÁULICO</v>
      </c>
      <c r="D666">
        <f>'PVC Presión'!F142</f>
        <v>350408</v>
      </c>
      <c r="E666" t="str">
        <f>'PVC Presión'!G142</f>
        <v>PVC PRE FT TEE 75 CEM I</v>
      </c>
      <c r="F666">
        <f>'PVC Presión'!H142</f>
        <v>1</v>
      </c>
      <c r="G666" t="str">
        <f>'PVC Presión'!I142</f>
        <v>Unitario</v>
      </c>
      <c r="H666">
        <f>IFERROR(IF('PVC Presión'!J142="",0,'PVC Presión'!J142),0)</f>
        <v>0</v>
      </c>
      <c r="I666" s="58" t="str">
        <f>IF(H666&gt;0, MAX(I$1:I665)+1, "")</f>
        <v/>
      </c>
    </row>
    <row r="667" spans="1:9" x14ac:dyDescent="0.2">
      <c r="A667" t="s">
        <v>26</v>
      </c>
      <c r="B667" t="str">
        <f>'PVC Presión'!A143</f>
        <v>Conducción Fluidos</v>
      </c>
      <c r="C667" t="str">
        <f>'PVC Presión'!B143</f>
        <v>PVC PRESION / HIDRÁULICO</v>
      </c>
      <c r="D667">
        <f>'PVC Presión'!F143</f>
        <v>350409</v>
      </c>
      <c r="E667" t="str">
        <f>'PVC Presión'!G143</f>
        <v>PVC PRE FT TEE 90 CEM I</v>
      </c>
      <c r="F667">
        <f>'PVC Presión'!H143</f>
        <v>1</v>
      </c>
      <c r="G667" t="str">
        <f>'PVC Presión'!I143</f>
        <v>Unitario</v>
      </c>
      <c r="H667">
        <f>IFERROR(IF('PVC Presión'!J143="",0,'PVC Presión'!J143),0)</f>
        <v>0</v>
      </c>
      <c r="I667" s="58" t="str">
        <f>IF(H667&gt;0, MAX(I$1:I666)+1, "")</f>
        <v/>
      </c>
    </row>
    <row r="668" spans="1:9" x14ac:dyDescent="0.2">
      <c r="A668" t="s">
        <v>26</v>
      </c>
      <c r="B668" t="str">
        <f>'PVC Presión'!A144</f>
        <v>Conducción Fluidos</v>
      </c>
      <c r="C668" t="str">
        <f>'PVC Presión'!B144</f>
        <v>PVC PRESION / HIDRÁULICO</v>
      </c>
      <c r="D668">
        <f>'PVC Presión'!F144</f>
        <v>350410</v>
      </c>
      <c r="E668" t="str">
        <f>'PVC Presión'!G144</f>
        <v>PVC PRE FT TEE 110 CEM I</v>
      </c>
      <c r="F668">
        <f>'PVC Presión'!H144</f>
        <v>1</v>
      </c>
      <c r="G668" t="str">
        <f>'PVC Presión'!I144</f>
        <v>Unitario</v>
      </c>
      <c r="H668">
        <f>IFERROR(IF('PVC Presión'!J144="",0,'PVC Presión'!J144),0)</f>
        <v>0</v>
      </c>
      <c r="I668" s="58" t="str">
        <f>IF(H668&gt;0, MAX(I$1:I667)+1, "")</f>
        <v/>
      </c>
    </row>
    <row r="669" spans="1:9" x14ac:dyDescent="0.2">
      <c r="A669" t="s">
        <v>26</v>
      </c>
      <c r="B669" t="str">
        <f>'PVC Presión'!A145</f>
        <v>Conducción Fluidos</v>
      </c>
      <c r="C669" t="str">
        <f>'PVC Presión'!B145</f>
        <v>PVC PRESION / HIDRÁULICO</v>
      </c>
      <c r="D669">
        <f>'PVC Presión'!F145</f>
        <v>350411</v>
      </c>
      <c r="E669" t="str">
        <f>'PVC Presión'!G145</f>
        <v>PVC PRE FT TEE 125 CEM I</v>
      </c>
      <c r="F669">
        <f>'PVC Presión'!H145</f>
        <v>1</v>
      </c>
      <c r="G669" t="str">
        <f>'PVC Presión'!I145</f>
        <v>Unitario</v>
      </c>
      <c r="H669">
        <f>IFERROR(IF('PVC Presión'!J145="",0,'PVC Presión'!J145),0)</f>
        <v>0</v>
      </c>
      <c r="I669" s="58" t="str">
        <f>IF(H669&gt;0, MAX(I$1:I668)+1, "")</f>
        <v/>
      </c>
    </row>
    <row r="670" spans="1:9" x14ac:dyDescent="0.2">
      <c r="A670" t="s">
        <v>26</v>
      </c>
      <c r="B670" t="str">
        <f>'PVC Presión'!A146</f>
        <v>Conducción Fluidos</v>
      </c>
      <c r="C670" t="str">
        <f>'PVC Presión'!B146</f>
        <v>PVC PRESION / HIDRÁULICO</v>
      </c>
      <c r="D670">
        <f>'PVC Presión'!F146</f>
        <v>350412</v>
      </c>
      <c r="E670" t="str">
        <f>'PVC Presión'!G146</f>
        <v>PVC PRE FT TEE 160 CEM I</v>
      </c>
      <c r="F670">
        <f>'PVC Presión'!H146</f>
        <v>1</v>
      </c>
      <c r="G670" t="str">
        <f>'PVC Presión'!I146</f>
        <v>Unitario</v>
      </c>
      <c r="H670">
        <f>IFERROR(IF('PVC Presión'!J146="",0,'PVC Presión'!J146),0)</f>
        <v>0</v>
      </c>
      <c r="I670" s="58" t="str">
        <f>IF(H670&gt;0, MAX(I$1:I669)+1, "")</f>
        <v/>
      </c>
    </row>
    <row r="671" spans="1:9" x14ac:dyDescent="0.2">
      <c r="A671" t="s">
        <v>26</v>
      </c>
      <c r="B671" t="str">
        <f>'PVC Presión'!A147</f>
        <v>Conducción Fluidos</v>
      </c>
      <c r="C671" t="str">
        <f>'PVC Presión'!B147</f>
        <v>PVC PRESION / HIDRÁULICO</v>
      </c>
      <c r="D671">
        <f>'PVC Presión'!F147</f>
        <v>351303</v>
      </c>
      <c r="E671" t="str">
        <f>'PVC Presión'!G147</f>
        <v>PVC PRE FT TEE RED 25 20 CEM I</v>
      </c>
      <c r="F671">
        <f>'PVC Presión'!H147</f>
        <v>30</v>
      </c>
      <c r="G671" t="str">
        <f>'PVC Presión'!I147</f>
        <v>Bolsa</v>
      </c>
      <c r="H671">
        <f>IFERROR(IF('PVC Presión'!J147="",0,'PVC Presión'!J147),0)</f>
        <v>0</v>
      </c>
      <c r="I671" s="58" t="str">
        <f>IF(H671&gt;0, MAX(I$1:I670)+1, "")</f>
        <v/>
      </c>
    </row>
    <row r="672" spans="1:9" x14ac:dyDescent="0.2">
      <c r="A672" t="s">
        <v>26</v>
      </c>
      <c r="B672" t="str">
        <f>'PVC Presión'!A148</f>
        <v>Conducción Fluidos</v>
      </c>
      <c r="C672" t="str">
        <f>'PVC Presión'!B148</f>
        <v>PVC PRESION / HIDRÁULICO</v>
      </c>
      <c r="D672">
        <f>'PVC Presión'!F148</f>
        <v>351308</v>
      </c>
      <c r="E672" t="str">
        <f>'PVC Presión'!G148</f>
        <v>PVC PRE FT TEE RED 32 20 CEM I</v>
      </c>
      <c r="F672">
        <f>'PVC Presión'!H148</f>
        <v>30</v>
      </c>
      <c r="G672" t="str">
        <f>'PVC Presión'!I148</f>
        <v>Bolsa</v>
      </c>
      <c r="H672">
        <f>IFERROR(IF('PVC Presión'!J148="",0,'PVC Presión'!J148),0)</f>
        <v>0</v>
      </c>
      <c r="I672" s="58" t="str">
        <f>IF(H672&gt;0, MAX(I$1:I671)+1, "")</f>
        <v/>
      </c>
    </row>
    <row r="673" spans="1:9" x14ac:dyDescent="0.2">
      <c r="A673" t="s">
        <v>26</v>
      </c>
      <c r="B673" t="str">
        <f>'PVC Presión'!A149</f>
        <v>Conducción Fluidos</v>
      </c>
      <c r="C673" t="str">
        <f>'PVC Presión'!B149</f>
        <v>PVC PRESION / HIDRÁULICO</v>
      </c>
      <c r="D673">
        <f>'PVC Presión'!F149</f>
        <v>351304</v>
      </c>
      <c r="E673" t="str">
        <f>'PVC Presión'!G149</f>
        <v>PVC PRE FT TEE RED 32 25 CEM I</v>
      </c>
      <c r="F673">
        <f>'PVC Presión'!H149</f>
        <v>20</v>
      </c>
      <c r="G673" t="str">
        <f>'PVC Presión'!I149</f>
        <v>Bolsa</v>
      </c>
      <c r="H673">
        <f>IFERROR(IF('PVC Presión'!J149="",0,'PVC Presión'!J149),0)</f>
        <v>0</v>
      </c>
      <c r="I673" s="58" t="str">
        <f>IF(H673&gt;0, MAX(I$1:I672)+1, "")</f>
        <v/>
      </c>
    </row>
    <row r="674" spans="1:9" x14ac:dyDescent="0.2">
      <c r="A674" t="s">
        <v>26</v>
      </c>
      <c r="B674" t="str">
        <f>'PVC Presión'!A150</f>
        <v>Conducción Fluidos</v>
      </c>
      <c r="C674" t="str">
        <f>'PVC Presión'!B150</f>
        <v>PVC PRESION / HIDRÁULICO</v>
      </c>
      <c r="D674">
        <f>'PVC Presión'!F150</f>
        <v>351309</v>
      </c>
      <c r="E674" t="str">
        <f>'PVC Presión'!G150</f>
        <v>PVC PRE FT TEE RED 40 20 CEM I</v>
      </c>
      <c r="F674">
        <f>'PVC Presión'!H150</f>
        <v>18</v>
      </c>
      <c r="G674" t="str">
        <f>'PVC Presión'!I150</f>
        <v>Bolsa</v>
      </c>
      <c r="H674">
        <f>IFERROR(IF('PVC Presión'!J150="",0,'PVC Presión'!J150),0)</f>
        <v>0</v>
      </c>
      <c r="I674" s="58" t="str">
        <f>IF(H674&gt;0, MAX(I$1:I673)+1, "")</f>
        <v/>
      </c>
    </row>
    <row r="675" spans="1:9" x14ac:dyDescent="0.2">
      <c r="A675" t="s">
        <v>26</v>
      </c>
      <c r="B675" t="str">
        <f>'PVC Presión'!A151</f>
        <v>Conducción Fluidos</v>
      </c>
      <c r="C675" t="str">
        <f>'PVC Presión'!B151</f>
        <v>PVC PRESION / HIDRÁULICO</v>
      </c>
      <c r="D675">
        <f>'PVC Presión'!F151</f>
        <v>351310</v>
      </c>
      <c r="E675" t="str">
        <f>'PVC Presión'!G151</f>
        <v>PVC PRE FT TEE RED 40 25 CEM I</v>
      </c>
      <c r="F675">
        <f>'PVC Presión'!H151</f>
        <v>16</v>
      </c>
      <c r="G675" t="str">
        <f>'PVC Presión'!I151</f>
        <v>Bolsa</v>
      </c>
      <c r="H675">
        <f>IFERROR(IF('PVC Presión'!J151="",0,'PVC Presión'!J151),0)</f>
        <v>0</v>
      </c>
      <c r="I675" s="58" t="str">
        <f>IF(H675&gt;0, MAX(I$1:I674)+1, "")</f>
        <v/>
      </c>
    </row>
    <row r="676" spans="1:9" x14ac:dyDescent="0.2">
      <c r="A676" t="s">
        <v>26</v>
      </c>
      <c r="B676" t="str">
        <f>'PVC Presión'!A152</f>
        <v>Conducción Fluidos</v>
      </c>
      <c r="C676" t="str">
        <f>'PVC Presión'!B152</f>
        <v>PVC PRESION / HIDRÁULICO</v>
      </c>
      <c r="D676">
        <f>'PVC Presión'!F152</f>
        <v>351305</v>
      </c>
      <c r="E676" t="str">
        <f>'PVC Presión'!G152</f>
        <v>PVC PRE FT TEE RED 40 32 CEM I</v>
      </c>
      <c r="F676">
        <f>'PVC Presión'!H152</f>
        <v>15</v>
      </c>
      <c r="G676" t="str">
        <f>'PVC Presión'!I152</f>
        <v>Bolsa</v>
      </c>
      <c r="H676">
        <f>IFERROR(IF('PVC Presión'!J152="",0,'PVC Presión'!J152),0)</f>
        <v>0</v>
      </c>
      <c r="I676" s="58" t="str">
        <f>IF(H676&gt;0, MAX(I$1:I675)+1, "")</f>
        <v/>
      </c>
    </row>
    <row r="677" spans="1:9" x14ac:dyDescent="0.2">
      <c r="A677" t="s">
        <v>26</v>
      </c>
      <c r="B677" t="str">
        <f>'PVC Presión'!A153</f>
        <v>Conducción Fluidos</v>
      </c>
      <c r="C677" t="str">
        <f>'PVC Presión'!B153</f>
        <v>PVC PRESION / HIDRÁULICO</v>
      </c>
      <c r="D677">
        <f>'PVC Presión'!F153</f>
        <v>351311</v>
      </c>
      <c r="E677" t="str">
        <f>'PVC Presión'!G153</f>
        <v>PVC PRE FT TEE RED 50 20 CEM I</v>
      </c>
      <c r="F677">
        <f>'PVC Presión'!H153</f>
        <v>10</v>
      </c>
      <c r="G677" t="str">
        <f>'PVC Presión'!I153</f>
        <v>Bolsa</v>
      </c>
      <c r="H677">
        <f>IFERROR(IF('PVC Presión'!J153="",0,'PVC Presión'!J153),0)</f>
        <v>0</v>
      </c>
      <c r="I677" s="58" t="str">
        <f>IF(H677&gt;0, MAX(I$1:I676)+1, "")</f>
        <v/>
      </c>
    </row>
    <row r="678" spans="1:9" x14ac:dyDescent="0.2">
      <c r="A678" t="s">
        <v>26</v>
      </c>
      <c r="B678" t="str">
        <f>'PVC Presión'!A154</f>
        <v>Conducción Fluidos</v>
      </c>
      <c r="C678" t="str">
        <f>'PVC Presión'!B154</f>
        <v>PVC PRESION / HIDRÁULICO</v>
      </c>
      <c r="D678">
        <f>'PVC Presión'!F154</f>
        <v>351312</v>
      </c>
      <c r="E678" t="str">
        <f>'PVC Presión'!G154</f>
        <v>PVC PRE FT TEE RED 50 25 CEM I</v>
      </c>
      <c r="F678">
        <f>'PVC Presión'!H154</f>
        <v>12</v>
      </c>
      <c r="G678" t="str">
        <f>'PVC Presión'!I154</f>
        <v>Bolsa</v>
      </c>
      <c r="H678">
        <f>IFERROR(IF('PVC Presión'!J154="",0,'PVC Presión'!J154),0)</f>
        <v>0</v>
      </c>
      <c r="I678" s="58" t="str">
        <f>IF(H678&gt;0, MAX(I$1:I677)+1, "")</f>
        <v/>
      </c>
    </row>
    <row r="679" spans="1:9" x14ac:dyDescent="0.2">
      <c r="A679" t="s">
        <v>26</v>
      </c>
      <c r="B679" t="str">
        <f>'PVC Presión'!A155</f>
        <v>Conducción Fluidos</v>
      </c>
      <c r="C679" t="str">
        <f>'PVC Presión'!B155</f>
        <v>PVC PRESION / HIDRÁULICO</v>
      </c>
      <c r="D679">
        <f>'PVC Presión'!F155</f>
        <v>351306</v>
      </c>
      <c r="E679" t="str">
        <f>'PVC Presión'!G155</f>
        <v>PVC PRE FT TEE RED 50 32 CEM I</v>
      </c>
      <c r="F679">
        <f>'PVC Presión'!H155</f>
        <v>10</v>
      </c>
      <c r="G679" t="str">
        <f>'PVC Presión'!I155</f>
        <v>Bolsa</v>
      </c>
      <c r="H679">
        <f>IFERROR(IF('PVC Presión'!J155="",0,'PVC Presión'!J155),0)</f>
        <v>0</v>
      </c>
      <c r="I679" s="58" t="str">
        <f>IF(H679&gt;0, MAX(I$1:I678)+1, "")</f>
        <v/>
      </c>
    </row>
    <row r="680" spans="1:9" x14ac:dyDescent="0.2">
      <c r="A680" t="s">
        <v>26</v>
      </c>
      <c r="B680" t="str">
        <f>'PVC Presión'!A156</f>
        <v>Conducción Fluidos</v>
      </c>
      <c r="C680" t="str">
        <f>'PVC Presión'!B156</f>
        <v>PVC PRESION / HIDRÁULICO</v>
      </c>
      <c r="D680">
        <f>'PVC Presión'!F156</f>
        <v>351307</v>
      </c>
      <c r="E680" t="str">
        <f>'PVC Presión'!G156</f>
        <v>PVC PRE FT TEE RED 50 40 CEM I</v>
      </c>
      <c r="F680">
        <f>'PVC Presión'!H156</f>
        <v>7</v>
      </c>
      <c r="G680" t="str">
        <f>'PVC Presión'!I156</f>
        <v>Bolsa</v>
      </c>
      <c r="H680">
        <f>IFERROR(IF('PVC Presión'!J156="",0,'PVC Presión'!J156),0)</f>
        <v>0</v>
      </c>
      <c r="I680" s="58" t="str">
        <f>IF(H680&gt;0, MAX(I$1:I679)+1, "")</f>
        <v/>
      </c>
    </row>
    <row r="681" spans="1:9" x14ac:dyDescent="0.2">
      <c r="A681" t="s">
        <v>26</v>
      </c>
      <c r="B681" t="str">
        <f>'PVC Presión'!A157</f>
        <v>Conducción Fluidos</v>
      </c>
      <c r="C681" t="str">
        <f>'PVC Presión'!B157</f>
        <v>PVC PRESION / HIDRÁULICO</v>
      </c>
      <c r="D681">
        <f>'PVC Presión'!F157</f>
        <v>351315</v>
      </c>
      <c r="E681" t="str">
        <f>'PVC Presión'!G157</f>
        <v>PVC PRE FT TEE RED 63 25 CEM I</v>
      </c>
      <c r="F681">
        <f>'PVC Presión'!H157</f>
        <v>5</v>
      </c>
      <c r="G681" t="str">
        <f>'PVC Presión'!I157</f>
        <v>Bolsa</v>
      </c>
      <c r="H681">
        <f>IFERROR(IF('PVC Presión'!J157="",0,'PVC Presión'!J157),0)</f>
        <v>0</v>
      </c>
      <c r="I681" s="58" t="str">
        <f>IF(H681&gt;0, MAX(I$1:I680)+1, "")</f>
        <v/>
      </c>
    </row>
    <row r="682" spans="1:9" x14ac:dyDescent="0.2">
      <c r="A682" t="s">
        <v>26</v>
      </c>
      <c r="B682" t="str">
        <f>'PVC Presión'!A158</f>
        <v>Conducción Fluidos</v>
      </c>
      <c r="C682" t="str">
        <f>'PVC Presión'!B158</f>
        <v>PVC PRESION / HIDRÁULICO</v>
      </c>
      <c r="D682">
        <f>'PVC Presión'!F158</f>
        <v>351316</v>
      </c>
      <c r="E682" t="str">
        <f>'PVC Presión'!G158</f>
        <v>PVC PRE FT TEE RED 63 32 CEM I</v>
      </c>
      <c r="F682">
        <f>'PVC Presión'!H158</f>
        <v>1</v>
      </c>
      <c r="G682" t="str">
        <f>'PVC Presión'!I158</f>
        <v>Bolsa</v>
      </c>
      <c r="H682">
        <f>IFERROR(IF('PVC Presión'!J158="",0,'PVC Presión'!J158),0)</f>
        <v>0</v>
      </c>
      <c r="I682" s="58" t="str">
        <f>IF(H682&gt;0, MAX(I$1:I681)+1, "")</f>
        <v/>
      </c>
    </row>
    <row r="683" spans="1:9" x14ac:dyDescent="0.2">
      <c r="A683" t="s">
        <v>26</v>
      </c>
      <c r="B683" t="str">
        <f>'PVC Presión'!A159</f>
        <v>Conducción Fluidos</v>
      </c>
      <c r="C683" t="str">
        <f>'PVC Presión'!B159</f>
        <v>PVC PRESION / HIDRÁULICO</v>
      </c>
      <c r="D683">
        <f>'PVC Presión'!F159</f>
        <v>351317</v>
      </c>
      <c r="E683" t="str">
        <f>'PVC Presión'!G159</f>
        <v>PVC PRE FT TEE RED 63 40 CEM I</v>
      </c>
      <c r="F683">
        <f>'PVC Presión'!H159</f>
        <v>1</v>
      </c>
      <c r="G683" t="str">
        <f>'PVC Presión'!I159</f>
        <v>Bolsa</v>
      </c>
      <c r="H683">
        <f>IFERROR(IF('PVC Presión'!J159="",0,'PVC Presión'!J159),0)</f>
        <v>0</v>
      </c>
      <c r="I683" s="58" t="str">
        <f>IF(H683&gt;0, MAX(I$1:I682)+1, "")</f>
        <v/>
      </c>
    </row>
    <row r="684" spans="1:9" x14ac:dyDescent="0.2">
      <c r="A684" t="s">
        <v>26</v>
      </c>
      <c r="B684" t="str">
        <f>'PVC Presión'!A160</f>
        <v>Conducción Fluidos</v>
      </c>
      <c r="C684" t="str">
        <f>'PVC Presión'!B160</f>
        <v>PVC PRESION / HIDRÁULICO</v>
      </c>
      <c r="D684">
        <f>'PVC Presión'!F160</f>
        <v>351318</v>
      </c>
      <c r="E684" t="str">
        <f>'PVC Presión'!G160</f>
        <v>PVC PRE FT TEE RED 63 50 CEM I</v>
      </c>
      <c r="F684">
        <f>'PVC Presión'!H160</f>
        <v>1</v>
      </c>
      <c r="G684" t="str">
        <f>'PVC Presión'!I160</f>
        <v>Bolsa</v>
      </c>
      <c r="H684">
        <f>IFERROR(IF('PVC Presión'!J160="",0,'PVC Presión'!J160),0)</f>
        <v>0</v>
      </c>
      <c r="I684" s="58" t="str">
        <f>IF(H684&gt;0, MAX(I$1:I683)+1, "")</f>
        <v/>
      </c>
    </row>
    <row r="685" spans="1:9" x14ac:dyDescent="0.2">
      <c r="A685" t="s">
        <v>26</v>
      </c>
      <c r="B685" t="str">
        <f>'PVC Presión'!A161</f>
        <v>Conducción Fluidos</v>
      </c>
      <c r="C685" t="str">
        <f>'PVC Presión'!B161</f>
        <v>PVC PRESION / HIDRÁULICO</v>
      </c>
      <c r="D685">
        <f>'PVC Presión'!F161</f>
        <v>351319</v>
      </c>
      <c r="E685" t="str">
        <f>'PVC Presión'!G161</f>
        <v>PVC PRE FT TEE RED 75 40 CEM I</v>
      </c>
      <c r="F685">
        <f>'PVC Presión'!H161</f>
        <v>1</v>
      </c>
      <c r="G685" t="str">
        <f>'PVC Presión'!I161</f>
        <v>Unitario</v>
      </c>
      <c r="H685">
        <f>IFERROR(IF('PVC Presión'!J161="",0,'PVC Presión'!J161),0)</f>
        <v>0</v>
      </c>
      <c r="I685" s="58" t="str">
        <f>IF(H685&gt;0, MAX(I$1:I684)+1, "")</f>
        <v/>
      </c>
    </row>
    <row r="686" spans="1:9" x14ac:dyDescent="0.2">
      <c r="A686" t="s">
        <v>26</v>
      </c>
      <c r="B686" t="str">
        <f>'PVC Presión'!A162</f>
        <v>Conducción Fluidos</v>
      </c>
      <c r="C686" t="str">
        <f>'PVC Presión'!B162</f>
        <v>PVC PRESION / HIDRÁULICO</v>
      </c>
      <c r="D686">
        <f>'PVC Presión'!F162</f>
        <v>351320</v>
      </c>
      <c r="E686" t="str">
        <f>'PVC Presión'!G162</f>
        <v>PVC PRE FT TEE RED 75 50 CEM I</v>
      </c>
      <c r="F686">
        <f>'PVC Presión'!H162</f>
        <v>1</v>
      </c>
      <c r="G686" t="str">
        <f>'PVC Presión'!I162</f>
        <v>Unitario</v>
      </c>
      <c r="H686">
        <f>IFERROR(IF('PVC Presión'!J162="",0,'PVC Presión'!J162),0)</f>
        <v>0</v>
      </c>
      <c r="I686" s="58" t="str">
        <f>IF(H686&gt;0, MAX(I$1:I685)+1, "")</f>
        <v/>
      </c>
    </row>
    <row r="687" spans="1:9" x14ac:dyDescent="0.2">
      <c r="A687" t="s">
        <v>26</v>
      </c>
      <c r="B687" t="str">
        <f>'PVC Presión'!A163</f>
        <v>Conducción Fluidos</v>
      </c>
      <c r="C687" t="str">
        <f>'PVC Presión'!B163</f>
        <v>PVC PRESION / HIDRÁULICO</v>
      </c>
      <c r="D687">
        <f>'PVC Presión'!F163</f>
        <v>351321</v>
      </c>
      <c r="E687" t="str">
        <f>'PVC Presión'!G163</f>
        <v>PVC PRE FT TEE RED 75 63 CEM I</v>
      </c>
      <c r="F687">
        <f>'PVC Presión'!H163</f>
        <v>1</v>
      </c>
      <c r="G687" t="str">
        <f>'PVC Presión'!I163</f>
        <v>Unitario</v>
      </c>
      <c r="H687">
        <f>IFERROR(IF('PVC Presión'!J163="",0,'PVC Presión'!J163),0)</f>
        <v>0</v>
      </c>
      <c r="I687" s="58" t="str">
        <f>IF(H687&gt;0, MAX(I$1:I686)+1, "")</f>
        <v/>
      </c>
    </row>
    <row r="688" spans="1:9" x14ac:dyDescent="0.2">
      <c r="A688" t="s">
        <v>26</v>
      </c>
      <c r="B688" t="str">
        <f>'PVC Presión'!A164</f>
        <v>Conducción Fluidos</v>
      </c>
      <c r="C688" t="str">
        <f>'PVC Presión'!B164</f>
        <v>PVC PRESION / HIDRÁULICO</v>
      </c>
      <c r="D688">
        <f>'PVC Presión'!F164</f>
        <v>351322</v>
      </c>
      <c r="E688" t="str">
        <f>'PVC Presión'!G164</f>
        <v>PVC PRE FT TEE RED 90 50 CEM I</v>
      </c>
      <c r="F688">
        <f>'PVC Presión'!H164</f>
        <v>1</v>
      </c>
      <c r="G688" t="str">
        <f>'PVC Presión'!I164</f>
        <v>Unitario</v>
      </c>
      <c r="H688">
        <f>IFERROR(IF('PVC Presión'!J164="",0,'PVC Presión'!J164),0)</f>
        <v>0</v>
      </c>
      <c r="I688" s="58" t="str">
        <f>IF(H688&gt;0, MAX(I$1:I687)+1, "")</f>
        <v/>
      </c>
    </row>
    <row r="689" spans="1:9" x14ac:dyDescent="0.2">
      <c r="A689" t="s">
        <v>26</v>
      </c>
      <c r="B689" t="str">
        <f>'PVC Presión'!A165</f>
        <v>Conducción Fluidos</v>
      </c>
      <c r="C689" t="str">
        <f>'PVC Presión'!B165</f>
        <v>PVC PRESION / HIDRÁULICO</v>
      </c>
      <c r="D689">
        <f>'PVC Presión'!F165</f>
        <v>351335</v>
      </c>
      <c r="E689" t="str">
        <f>'PVC Presión'!G165</f>
        <v>PVC PRE FT TEE RED 90 63 CEM I</v>
      </c>
      <c r="F689">
        <f>'PVC Presión'!H165</f>
        <v>1</v>
      </c>
      <c r="G689" t="str">
        <f>'PVC Presión'!I165</f>
        <v>Unitario</v>
      </c>
      <c r="H689">
        <f>IFERROR(IF('PVC Presión'!J165="",0,'PVC Presión'!J165),0)</f>
        <v>0</v>
      </c>
      <c r="I689" s="58" t="str">
        <f>IF(H689&gt;0, MAX(I$1:I688)+1, "")</f>
        <v/>
      </c>
    </row>
    <row r="690" spans="1:9" x14ac:dyDescent="0.2">
      <c r="A690" t="s">
        <v>26</v>
      </c>
      <c r="B690" t="str">
        <f>'PVC Presión'!A166</f>
        <v>Conducción Fluidos</v>
      </c>
      <c r="C690" t="str">
        <f>'PVC Presión'!B166</f>
        <v>PVC PRESION / HIDRÁULICO</v>
      </c>
      <c r="D690">
        <f>'PVC Presión'!F166</f>
        <v>351336</v>
      </c>
      <c r="E690" t="str">
        <f>'PVC Presión'!G166</f>
        <v>PVC PRE FT TEE RED 90 75 CEM I</v>
      </c>
      <c r="F690">
        <f>'PVC Presión'!H166</f>
        <v>1</v>
      </c>
      <c r="G690" t="str">
        <f>'PVC Presión'!I166</f>
        <v>Unitario</v>
      </c>
      <c r="H690">
        <f>IFERROR(IF('PVC Presión'!J166="",0,'PVC Presión'!J166),0)</f>
        <v>0</v>
      </c>
      <c r="I690" s="58" t="str">
        <f>IF(H690&gt;0, MAX(I$1:I689)+1, "")</f>
        <v/>
      </c>
    </row>
    <row r="691" spans="1:9" x14ac:dyDescent="0.2">
      <c r="A691" t="s">
        <v>26</v>
      </c>
      <c r="B691" t="str">
        <f>'PVC Presión'!A167</f>
        <v>Conducción Fluidos</v>
      </c>
      <c r="C691" t="str">
        <f>'PVC Presión'!B167</f>
        <v>PVC PRESION / HIDRÁULICO</v>
      </c>
      <c r="D691">
        <f>'PVC Presión'!F167</f>
        <v>351323</v>
      </c>
      <c r="E691" t="str">
        <f>'PVC Presión'!G167</f>
        <v>PVC PRE FT TEE RED 110 50 CEM I</v>
      </c>
      <c r="F691">
        <f>'PVC Presión'!H167</f>
        <v>1</v>
      </c>
      <c r="G691" t="str">
        <f>'PVC Presión'!I167</f>
        <v>Unitario</v>
      </c>
      <c r="H691">
        <f>IFERROR(IF('PVC Presión'!J167="",0,'PVC Presión'!J167),0)</f>
        <v>0</v>
      </c>
      <c r="I691" s="58" t="str">
        <f>IF(H691&gt;0, MAX(I$1:I690)+1, "")</f>
        <v/>
      </c>
    </row>
    <row r="692" spans="1:9" x14ac:dyDescent="0.2">
      <c r="A692" t="s">
        <v>26</v>
      </c>
      <c r="B692" t="str">
        <f>'PVC Presión'!A168</f>
        <v>Conducción Fluidos</v>
      </c>
      <c r="C692" t="str">
        <f>'PVC Presión'!B168</f>
        <v>PVC PRESION / HIDRÁULICO</v>
      </c>
      <c r="D692">
        <f>'PVC Presión'!F168</f>
        <v>351324</v>
      </c>
      <c r="E692" t="str">
        <f>'PVC Presión'!G168</f>
        <v>PVC PRE FT TEE RED 110 63 CEM I</v>
      </c>
      <c r="F692">
        <f>'PVC Presión'!H168</f>
        <v>1</v>
      </c>
      <c r="G692" t="str">
        <f>'PVC Presión'!I168</f>
        <v>Unitario</v>
      </c>
      <c r="H692">
        <f>IFERROR(IF('PVC Presión'!J168="",0,'PVC Presión'!J168),0)</f>
        <v>0</v>
      </c>
      <c r="I692" s="58" t="str">
        <f>IF(H692&gt;0, MAX(I$1:I691)+1, "")</f>
        <v/>
      </c>
    </row>
    <row r="693" spans="1:9" x14ac:dyDescent="0.2">
      <c r="A693" t="s">
        <v>26</v>
      </c>
      <c r="B693" t="str">
        <f>'PVC Presión'!A169</f>
        <v>Conducción Fluidos</v>
      </c>
      <c r="C693" t="str">
        <f>'PVC Presión'!B169</f>
        <v>PVC PRESION / HIDRÁULICO</v>
      </c>
      <c r="D693">
        <f>'PVC Presión'!F169</f>
        <v>351325</v>
      </c>
      <c r="E693" t="str">
        <f>'PVC Presión'!G169</f>
        <v>PVC PRE FT TEE RED 110 75 CEM I</v>
      </c>
      <c r="F693">
        <f>'PVC Presión'!H169</f>
        <v>1</v>
      </c>
      <c r="G693" t="str">
        <f>'PVC Presión'!I169</f>
        <v>Unitario</v>
      </c>
      <c r="H693">
        <f>IFERROR(IF('PVC Presión'!J169="",0,'PVC Presión'!J169),0)</f>
        <v>0</v>
      </c>
      <c r="I693" s="58" t="str">
        <f>IF(H693&gt;0, MAX(I$1:I692)+1, "")</f>
        <v/>
      </c>
    </row>
    <row r="694" spans="1:9" x14ac:dyDescent="0.2">
      <c r="A694" t="s">
        <v>26</v>
      </c>
      <c r="B694" t="str">
        <f>'PVC Presión'!A170</f>
        <v>Conducción Fluidos</v>
      </c>
      <c r="C694" t="str">
        <f>'PVC Presión'!B170</f>
        <v>PVC PRESION / HIDRÁULICO</v>
      </c>
      <c r="D694">
        <f>'PVC Presión'!F170</f>
        <v>351326</v>
      </c>
      <c r="E694" t="str">
        <f>'PVC Presión'!G170</f>
        <v>PVC PRE FT TEE RED 110 90 CEM I</v>
      </c>
      <c r="F694">
        <f>'PVC Presión'!H170</f>
        <v>1</v>
      </c>
      <c r="G694" t="str">
        <f>'PVC Presión'!I170</f>
        <v>Unitario</v>
      </c>
      <c r="H694">
        <f>IFERROR(IF('PVC Presión'!J170="",0,'PVC Presión'!J170),0)</f>
        <v>0</v>
      </c>
      <c r="I694" s="58" t="str">
        <f>IF(H694&gt;0, MAX(I$1:I693)+1, "")</f>
        <v/>
      </c>
    </row>
    <row r="695" spans="1:9" x14ac:dyDescent="0.2">
      <c r="A695" t="s">
        <v>26</v>
      </c>
      <c r="B695" t="str">
        <f>'PVC Presión'!A171</f>
        <v>Conducción Fluidos</v>
      </c>
      <c r="C695" t="str">
        <f>'PVC Presión'!B171</f>
        <v>PVC PRESION / HIDRÁULICO</v>
      </c>
      <c r="D695">
        <f>'PVC Presión'!F171</f>
        <v>351327</v>
      </c>
      <c r="E695" t="str">
        <f>'PVC Presión'!G171</f>
        <v>PVC PRE FT TEE RED 125 90 CEM I</v>
      </c>
      <c r="F695">
        <f>'PVC Presión'!H171</f>
        <v>1</v>
      </c>
      <c r="G695" t="str">
        <f>'PVC Presión'!I171</f>
        <v>Unitario</v>
      </c>
      <c r="H695">
        <f>IFERROR(IF('PVC Presión'!J171="",0,'PVC Presión'!J171),0)</f>
        <v>0</v>
      </c>
      <c r="I695" s="58" t="str">
        <f>IF(H695&gt;0, MAX(I$1:I694)+1, "")</f>
        <v/>
      </c>
    </row>
    <row r="696" spans="1:9" x14ac:dyDescent="0.2">
      <c r="A696" t="s">
        <v>26</v>
      </c>
      <c r="B696" t="str">
        <f>'PVC Presión'!A172</f>
        <v>Conducción Fluidos</v>
      </c>
      <c r="C696" t="str">
        <f>'PVC Presión'!B172</f>
        <v>PVC PRESION / HIDRÁULICO</v>
      </c>
      <c r="D696">
        <f>'PVC Presión'!F172</f>
        <v>351328</v>
      </c>
      <c r="E696" t="str">
        <f>'PVC Presión'!G172</f>
        <v>PVC PRE FT TEE RED 125 110 CEM I</v>
      </c>
      <c r="F696">
        <f>'PVC Presión'!H172</f>
        <v>1</v>
      </c>
      <c r="G696" t="str">
        <f>'PVC Presión'!I172</f>
        <v>Unitario</v>
      </c>
      <c r="H696">
        <f>IFERROR(IF('PVC Presión'!J172="",0,'PVC Presión'!J172),0)</f>
        <v>0</v>
      </c>
      <c r="I696" s="58" t="str">
        <f>IF(H696&gt;0, MAX(I$1:I695)+1, "")</f>
        <v/>
      </c>
    </row>
    <row r="697" spans="1:9" x14ac:dyDescent="0.2">
      <c r="A697" t="s">
        <v>26</v>
      </c>
      <c r="B697" t="str">
        <f>'PVC Presión'!A173</f>
        <v>Conducción Fluidos</v>
      </c>
      <c r="C697" t="str">
        <f>'PVC Presión'!B173</f>
        <v>PVC PRESION / HIDRÁULICO</v>
      </c>
      <c r="D697">
        <f>'PVC Presión'!F173</f>
        <v>351329</v>
      </c>
      <c r="E697" t="str">
        <f>'PVC Presión'!G173</f>
        <v>PVC PRE FT TEE RED 160 75 CEM I</v>
      </c>
      <c r="F697">
        <f>'PVC Presión'!H173</f>
        <v>1</v>
      </c>
      <c r="G697" t="str">
        <f>'PVC Presión'!I173</f>
        <v>Unitario</v>
      </c>
      <c r="H697">
        <f>IFERROR(IF('PVC Presión'!J173="",0,'PVC Presión'!J173),0)</f>
        <v>0</v>
      </c>
      <c r="I697" s="58" t="str">
        <f>IF(H697&gt;0, MAX(I$1:I696)+1, "")</f>
        <v/>
      </c>
    </row>
    <row r="698" spans="1:9" x14ac:dyDescent="0.2">
      <c r="A698" t="s">
        <v>26</v>
      </c>
      <c r="B698" t="str">
        <f>'PVC Presión'!A174</f>
        <v>Conducción Fluidos</v>
      </c>
      <c r="C698" t="str">
        <f>'PVC Presión'!B174</f>
        <v>PVC PRESION / HIDRÁULICO</v>
      </c>
      <c r="D698">
        <f>'PVC Presión'!F174</f>
        <v>351330</v>
      </c>
      <c r="E698" t="str">
        <f>'PVC Presión'!G174</f>
        <v>PVC PRE FT TEE RED 160 90 CEM I</v>
      </c>
      <c r="F698">
        <f>'PVC Presión'!H174</f>
        <v>1</v>
      </c>
      <c r="G698" t="str">
        <f>'PVC Presión'!I174</f>
        <v>Unitario</v>
      </c>
      <c r="H698">
        <f>IFERROR(IF('PVC Presión'!J174="",0,'PVC Presión'!J174),0)</f>
        <v>0</v>
      </c>
      <c r="I698" s="58" t="str">
        <f>IF(H698&gt;0, MAX(I$1:I697)+1, "")</f>
        <v/>
      </c>
    </row>
    <row r="699" spans="1:9" x14ac:dyDescent="0.2">
      <c r="A699" t="s">
        <v>26</v>
      </c>
      <c r="B699" t="str">
        <f>'PVC Presión'!A175</f>
        <v>Conducción Fluidos</v>
      </c>
      <c r="C699" t="str">
        <f>'PVC Presión'!B175</f>
        <v>PVC PRESION / HIDRÁULICO</v>
      </c>
      <c r="D699">
        <f>'PVC Presión'!F175</f>
        <v>351331</v>
      </c>
      <c r="E699" t="str">
        <f>'PVC Presión'!G175</f>
        <v>PVC PRE FT TEE RED 160 110 CEM I</v>
      </c>
      <c r="F699">
        <f>'PVC Presión'!H175</f>
        <v>1</v>
      </c>
      <c r="G699" t="str">
        <f>'PVC Presión'!I175</f>
        <v>Unitario</v>
      </c>
      <c r="H699">
        <f>IFERROR(IF('PVC Presión'!J175="",0,'PVC Presión'!J175),0)</f>
        <v>0</v>
      </c>
      <c r="I699" s="58" t="str">
        <f>IF(H699&gt;0, MAX(I$1:I698)+1, "")</f>
        <v/>
      </c>
    </row>
    <row r="700" spans="1:9" x14ac:dyDescent="0.2">
      <c r="A700" t="s">
        <v>26</v>
      </c>
      <c r="B700" t="str">
        <f>'PVC Presión'!A176</f>
        <v>Conducción Fluidos</v>
      </c>
      <c r="C700" t="str">
        <f>'PVC Presión'!B176</f>
        <v>PVC PRESION / HIDRÁULICO</v>
      </c>
      <c r="D700">
        <f>'PVC Presión'!F176</f>
        <v>351332</v>
      </c>
      <c r="E700" t="str">
        <f>'PVC Presión'!G176</f>
        <v>PVC PRE FT TEE RED 160 125 CEM I</v>
      </c>
      <c r="F700">
        <f>'PVC Presión'!H176</f>
        <v>1</v>
      </c>
      <c r="G700" t="str">
        <f>'PVC Presión'!I176</f>
        <v>Unitario</v>
      </c>
      <c r="H700">
        <f>IFERROR(IF('PVC Presión'!J176="",0,'PVC Presión'!J176),0)</f>
        <v>0</v>
      </c>
      <c r="I700" s="58" t="str">
        <f>IF(H700&gt;0, MAX(I$1:I699)+1, "")</f>
        <v/>
      </c>
    </row>
    <row r="701" spans="1:9" x14ac:dyDescent="0.2">
      <c r="A701" t="s">
        <v>26</v>
      </c>
      <c r="B701" t="str">
        <f>'PVC Presión'!A177</f>
        <v>Conducción Fluidos</v>
      </c>
      <c r="C701" t="str">
        <f>'PVC Presión'!B177</f>
        <v>PVC PRESION / HIDRÁULICO</v>
      </c>
      <c r="D701">
        <f>'PVC Presión'!F177</f>
        <v>350421</v>
      </c>
      <c r="E701" t="str">
        <f>'PVC Presión'!G177</f>
        <v>PVC PRE FT TEE HI 20X1/2</v>
      </c>
      <c r="F701">
        <f>'PVC Presión'!H177</f>
        <v>25</v>
      </c>
      <c r="G701" t="str">
        <f>'PVC Presión'!I177</f>
        <v>Bolsa</v>
      </c>
      <c r="H701">
        <f>IFERROR(IF('PVC Presión'!J177="",0,'PVC Presión'!J177),0)</f>
        <v>0</v>
      </c>
      <c r="I701" s="58" t="str">
        <f>IF(H701&gt;0, MAX(I$1:I700)+1, "")</f>
        <v/>
      </c>
    </row>
    <row r="702" spans="1:9" x14ac:dyDescent="0.2">
      <c r="A702" t="s">
        <v>26</v>
      </c>
      <c r="B702" t="str">
        <f>'PVC Presión'!A178</f>
        <v>Conducción Fluidos</v>
      </c>
      <c r="C702" t="str">
        <f>'PVC Presión'!B178</f>
        <v>PVC PRESION / HIDRÁULICO</v>
      </c>
      <c r="D702">
        <f>'PVC Presión'!F178</f>
        <v>350422</v>
      </c>
      <c r="E702" t="str">
        <f>'PVC Presión'!G178</f>
        <v>PVC PRE FT TEE HI 25X1/2</v>
      </c>
      <c r="F702">
        <f>'PVC Presión'!H178</f>
        <v>20</v>
      </c>
      <c r="G702" t="str">
        <f>'PVC Presión'!I178</f>
        <v>Bolsa</v>
      </c>
      <c r="H702">
        <f>IFERROR(IF('PVC Presión'!J178="",0,'PVC Presión'!J178),0)</f>
        <v>0</v>
      </c>
      <c r="I702" s="58" t="str">
        <f>IF(H702&gt;0, MAX(I$1:I701)+1, "")</f>
        <v/>
      </c>
    </row>
    <row r="703" spans="1:9" x14ac:dyDescent="0.2">
      <c r="A703" t="s">
        <v>26</v>
      </c>
      <c r="B703" t="str">
        <f>'PVC Presión'!A179</f>
        <v>Conducción Fluidos</v>
      </c>
      <c r="C703" t="str">
        <f>'PVC Presión'!B179</f>
        <v>PVC PRESION / HIDRÁULICO</v>
      </c>
      <c r="D703">
        <f>'PVC Presión'!F179</f>
        <v>350423</v>
      </c>
      <c r="E703" t="str">
        <f>'PVC Presión'!G179</f>
        <v>PVC PRE FT TEE HI 25X3/4</v>
      </c>
      <c r="F703">
        <f>'PVC Presión'!H179</f>
        <v>20</v>
      </c>
      <c r="G703" t="str">
        <f>'PVC Presión'!I179</f>
        <v>Bolsa</v>
      </c>
      <c r="H703">
        <f>IFERROR(IF('PVC Presión'!J179="",0,'PVC Presión'!J179),0)</f>
        <v>0</v>
      </c>
      <c r="I703" s="58" t="str">
        <f>IF(H703&gt;0, MAX(I$1:I702)+1, "")</f>
        <v/>
      </c>
    </row>
    <row r="704" spans="1:9" x14ac:dyDescent="0.2">
      <c r="A704" t="s">
        <v>26</v>
      </c>
      <c r="B704" t="str">
        <f>'PVC Presión'!A180</f>
        <v>Conducción Fluidos</v>
      </c>
      <c r="C704" t="str">
        <f>'PVC Presión'!B180</f>
        <v>PVC PRESION / HIDRÁULICO</v>
      </c>
      <c r="D704">
        <f>'PVC Presión'!F180</f>
        <v>350424</v>
      </c>
      <c r="E704" t="str">
        <f>'PVC Presión'!G180</f>
        <v>PVC PRE FT TEE HI 32X1/2</v>
      </c>
      <c r="F704">
        <f>'PVC Presión'!H180</f>
        <v>20</v>
      </c>
      <c r="G704" t="str">
        <f>'PVC Presión'!I180</f>
        <v>Bolsa</v>
      </c>
      <c r="H704">
        <f>IFERROR(IF('PVC Presión'!J180="",0,'PVC Presión'!J180),0)</f>
        <v>0</v>
      </c>
      <c r="I704" s="58" t="str">
        <f>IF(H704&gt;0, MAX(I$1:I703)+1, "")</f>
        <v/>
      </c>
    </row>
    <row r="705" spans="1:9" x14ac:dyDescent="0.2">
      <c r="A705" t="s">
        <v>26</v>
      </c>
      <c r="B705" t="str">
        <f>'PVC Presión'!A181</f>
        <v>Conducción Fluidos</v>
      </c>
      <c r="C705" t="str">
        <f>'PVC Presión'!B181</f>
        <v>PVC PRESION / HIDRÁULICO</v>
      </c>
      <c r="D705">
        <f>'PVC Presión'!F181</f>
        <v>350425</v>
      </c>
      <c r="E705" t="str">
        <f>'PVC Presión'!G181</f>
        <v>PVC PRE FT TEE HI 32X3/4</v>
      </c>
      <c r="F705">
        <f>'PVC Presión'!H181</f>
        <v>20</v>
      </c>
      <c r="G705" t="str">
        <f>'PVC Presión'!I181</f>
        <v>Bolsa</v>
      </c>
      <c r="H705">
        <f>IFERROR(IF('PVC Presión'!J181="",0,'PVC Presión'!J181),0)</f>
        <v>0</v>
      </c>
      <c r="I705" s="58" t="str">
        <f>IF(H705&gt;0, MAX(I$1:I704)+1, "")</f>
        <v/>
      </c>
    </row>
    <row r="706" spans="1:9" x14ac:dyDescent="0.2">
      <c r="A706" t="s">
        <v>26</v>
      </c>
      <c r="B706" t="str">
        <f>'PVC Presión'!A182</f>
        <v>Conducción Fluidos</v>
      </c>
      <c r="C706" t="str">
        <f>'PVC Presión'!B182</f>
        <v>PVC PRESION / HIDRÁULICO</v>
      </c>
      <c r="D706">
        <f>'PVC Presión'!F182</f>
        <v>350426</v>
      </c>
      <c r="E706" t="str">
        <f>'PVC Presión'!G182</f>
        <v>PVC PRE FT TEE HI 32X1</v>
      </c>
      <c r="F706">
        <f>'PVC Presión'!H182</f>
        <v>13</v>
      </c>
      <c r="G706" t="str">
        <f>'PVC Presión'!I182</f>
        <v>Bolsa</v>
      </c>
      <c r="H706">
        <f>IFERROR(IF('PVC Presión'!J182="",0,'PVC Presión'!J182),0)</f>
        <v>0</v>
      </c>
      <c r="I706" s="58" t="str">
        <f>IF(H706&gt;0, MAX(I$1:I705)+1, "")</f>
        <v/>
      </c>
    </row>
    <row r="707" spans="1:9" x14ac:dyDescent="0.2">
      <c r="A707" t="s">
        <v>26</v>
      </c>
      <c r="B707" t="str">
        <f>'PVC Presión'!A183</f>
        <v>Conducción Fluidos</v>
      </c>
      <c r="C707" t="str">
        <f>'PVC Presión'!B183</f>
        <v>PVC PRESION / HIDRÁULICO</v>
      </c>
      <c r="D707">
        <f>'PVC Presión'!F183</f>
        <v>350427</v>
      </c>
      <c r="E707" t="str">
        <f>'PVC Presión'!G183</f>
        <v>PVC PRE FT TEE HI 40X1-1/4</v>
      </c>
      <c r="F707">
        <f>'PVC Presión'!H183</f>
        <v>10</v>
      </c>
      <c r="G707" t="str">
        <f>'PVC Presión'!I183</f>
        <v>Bolsa</v>
      </c>
      <c r="H707">
        <f>IFERROR(IF('PVC Presión'!J183="",0,'PVC Presión'!J183),0)</f>
        <v>0</v>
      </c>
      <c r="I707" s="58" t="str">
        <f>IF(H707&gt;0, MAX(I$1:I706)+1, "")</f>
        <v/>
      </c>
    </row>
    <row r="708" spans="1:9" x14ac:dyDescent="0.2">
      <c r="A708" t="s">
        <v>26</v>
      </c>
      <c r="B708" t="str">
        <f>'PVC Presión'!A184</f>
        <v>Conducción Fluidos</v>
      </c>
      <c r="C708" t="str">
        <f>'PVC Presión'!B184</f>
        <v>PVC PRESION / HIDRÁULICO</v>
      </c>
      <c r="D708">
        <f>'PVC Presión'!F184</f>
        <v>350428</v>
      </c>
      <c r="E708" t="str">
        <f>'PVC Presión'!G184</f>
        <v>PVC PRE FT TEE HI 50X1-1/2</v>
      </c>
      <c r="F708">
        <f>'PVC Presión'!H184</f>
        <v>8</v>
      </c>
      <c r="G708" t="str">
        <f>'PVC Presión'!I184</f>
        <v>Bolsa</v>
      </c>
      <c r="H708">
        <f>IFERROR(IF('PVC Presión'!J184="",0,'PVC Presión'!J184),0)</f>
        <v>0</v>
      </c>
      <c r="I708" s="58" t="str">
        <f>IF(H708&gt;0, MAX(I$1:I707)+1, "")</f>
        <v/>
      </c>
    </row>
    <row r="709" spans="1:9" x14ac:dyDescent="0.2">
      <c r="A709" t="s">
        <v>26</v>
      </c>
      <c r="B709" t="str">
        <f>'PVC Presión'!A185</f>
        <v>Conducción Fluidos</v>
      </c>
      <c r="C709" t="str">
        <f>'PVC Presión'!B185</f>
        <v>PVC PRESION / HIDRÁULICO</v>
      </c>
      <c r="D709">
        <f>'PVC Presión'!F185</f>
        <v>350429</v>
      </c>
      <c r="E709" t="str">
        <f>'PVC Presión'!G185</f>
        <v>PVC PRE FT TEE HI 50X1/2</v>
      </c>
      <c r="F709">
        <f>'PVC Presión'!H185</f>
        <v>8</v>
      </c>
      <c r="G709" t="str">
        <f>'PVC Presión'!I185</f>
        <v>Bolsa</v>
      </c>
      <c r="H709">
        <f>IFERROR(IF('PVC Presión'!J185="",0,'PVC Presión'!J185),0)</f>
        <v>0</v>
      </c>
      <c r="I709" s="58" t="str">
        <f>IF(H709&gt;0, MAX(I$1:I708)+1, "")</f>
        <v/>
      </c>
    </row>
    <row r="710" spans="1:9" x14ac:dyDescent="0.2">
      <c r="A710" t="s">
        <v>26</v>
      </c>
      <c r="B710" t="str">
        <f>'PVC Presión'!A186</f>
        <v>Conducción Fluidos</v>
      </c>
      <c r="C710" t="str">
        <f>'PVC Presión'!B186</f>
        <v>PVC PRESION / HIDRÁULICO</v>
      </c>
      <c r="D710">
        <f>'PVC Presión'!F186</f>
        <v>350430</v>
      </c>
      <c r="E710" t="str">
        <f>'PVC Presión'!G186</f>
        <v>PVC PRE FT TEE HI 63X1/2</v>
      </c>
      <c r="F710">
        <f>'PVC Presión'!H186</f>
        <v>1</v>
      </c>
      <c r="G710" t="str">
        <f>'PVC Presión'!I186</f>
        <v>Unitario</v>
      </c>
      <c r="H710">
        <f>IFERROR(IF('PVC Presión'!J186="",0,'PVC Presión'!J186),0)</f>
        <v>0</v>
      </c>
      <c r="I710" s="58" t="str">
        <f>IF(H710&gt;0, MAX(I$1:I709)+1, "")</f>
        <v/>
      </c>
    </row>
    <row r="711" spans="1:9" x14ac:dyDescent="0.2">
      <c r="A711" t="s">
        <v>26</v>
      </c>
      <c r="B711" t="str">
        <f>'PVC Presión'!A187</f>
        <v>Conducción Fluidos</v>
      </c>
      <c r="C711" t="str">
        <f>'PVC Presión'!B187</f>
        <v>PVC PRESION / HIDRÁULICO</v>
      </c>
      <c r="D711">
        <f>'PVC Presión'!F187</f>
        <v>350431</v>
      </c>
      <c r="E711" t="str">
        <f>'PVC Presión'!G187</f>
        <v>PVC PRE FT TEE HI 63X3/4</v>
      </c>
      <c r="F711">
        <f>'PVC Presión'!H187</f>
        <v>1</v>
      </c>
      <c r="G711" t="str">
        <f>'PVC Presión'!I187</f>
        <v>Unitario</v>
      </c>
      <c r="H711">
        <f>IFERROR(IF('PVC Presión'!J187="",0,'PVC Presión'!J187),0)</f>
        <v>0</v>
      </c>
      <c r="I711" s="58" t="str">
        <f>IF(H711&gt;0, MAX(I$1:I710)+1, "")</f>
        <v/>
      </c>
    </row>
    <row r="712" spans="1:9" x14ac:dyDescent="0.2">
      <c r="A712" t="s">
        <v>26</v>
      </c>
      <c r="B712" t="str">
        <f>'PVC Presión'!A188</f>
        <v>Conducción Fluidos</v>
      </c>
      <c r="C712" t="str">
        <f>'PVC Presión'!B188</f>
        <v>PVC PRESION / HIDRÁULICO</v>
      </c>
      <c r="D712">
        <f>'PVC Presión'!F188</f>
        <v>350432</v>
      </c>
      <c r="E712" t="str">
        <f>'PVC Presión'!G188</f>
        <v>PVC PRE FT TEE HI 63X2</v>
      </c>
      <c r="F712">
        <f>'PVC Presión'!H188</f>
        <v>1</v>
      </c>
      <c r="G712" t="str">
        <f>'PVC Presión'!I188</f>
        <v>Unitario</v>
      </c>
      <c r="H712">
        <f>IFERROR(IF('PVC Presión'!J188="",0,'PVC Presión'!J188),0)</f>
        <v>0</v>
      </c>
      <c r="I712" s="58" t="str">
        <f>IF(H712&gt;0, MAX(I$1:I711)+1, "")</f>
        <v/>
      </c>
    </row>
    <row r="713" spans="1:9" x14ac:dyDescent="0.2">
      <c r="A713" t="s">
        <v>26</v>
      </c>
      <c r="B713" t="str">
        <f>'PVC Presión'!A189</f>
        <v>Conducción Fluidos</v>
      </c>
      <c r="C713" t="str">
        <f>'PVC Presión'!B189</f>
        <v>PVC PRESION / HIDRÁULICO</v>
      </c>
      <c r="D713">
        <f>'PVC Presión'!F189</f>
        <v>351950</v>
      </c>
      <c r="E713" t="str">
        <f>'PVC Presión'!G189</f>
        <v>PVC PRE FT VEE 110 CEM I</v>
      </c>
      <c r="F713">
        <f>'PVC Presión'!H189</f>
        <v>1</v>
      </c>
      <c r="G713" t="str">
        <f>'PVC Presión'!I189</f>
        <v>Unitario</v>
      </c>
      <c r="H713">
        <f>IFERROR(IF('PVC Presión'!J189="",0,'PVC Presión'!J189),0)</f>
        <v>0</v>
      </c>
      <c r="I713" s="58" t="str">
        <f>IF(H713&gt;0, MAX(I$1:I712)+1, "")</f>
        <v/>
      </c>
    </row>
    <row r="714" spans="1:9" x14ac:dyDescent="0.2">
      <c r="A714" t="s">
        <v>26</v>
      </c>
      <c r="B714" t="str">
        <f>'PVC Presión'!A190</f>
        <v>Conducción Fluidos</v>
      </c>
      <c r="C714" t="str">
        <f>'PVC Presión'!B190</f>
        <v>PVC PRESION / HIDRÁULICO</v>
      </c>
      <c r="D714">
        <f>'PVC Presión'!F190</f>
        <v>351203</v>
      </c>
      <c r="E714" t="str">
        <f>'PVC Presión'!G190</f>
        <v>PVC PRE FT BUJE RED LAR 25 20 CEM I</v>
      </c>
      <c r="F714">
        <f>'PVC Presión'!H190</f>
        <v>30</v>
      </c>
      <c r="G714" t="str">
        <f>'PVC Presión'!I190</f>
        <v>Bolsa</v>
      </c>
      <c r="H714">
        <f>IFERROR(IF('PVC Presión'!J190="",0,'PVC Presión'!J190),0)</f>
        <v>0</v>
      </c>
      <c r="I714" s="58" t="str">
        <f>IF(H714&gt;0, MAX(I$1:I713)+1, "")</f>
        <v/>
      </c>
    </row>
    <row r="715" spans="1:9" x14ac:dyDescent="0.2">
      <c r="A715" t="s">
        <v>26</v>
      </c>
      <c r="B715" t="str">
        <f>'PVC Presión'!A191</f>
        <v>Conducción Fluidos</v>
      </c>
      <c r="C715" t="str">
        <f>'PVC Presión'!B191</f>
        <v>PVC PRESION / HIDRÁULICO</v>
      </c>
      <c r="D715">
        <f>'PVC Presión'!F191</f>
        <v>351108</v>
      </c>
      <c r="E715" t="str">
        <f>'PVC Presión'!G191</f>
        <v>PVC PRE FT BUJE RED LAR 32 20 CEM I</v>
      </c>
      <c r="F715">
        <f>'PVC Presión'!H191</f>
        <v>18</v>
      </c>
      <c r="G715" t="str">
        <f>'PVC Presión'!I191</f>
        <v>Bolsa</v>
      </c>
      <c r="H715">
        <f>IFERROR(IF('PVC Presión'!J191="",0,'PVC Presión'!J191),0)</f>
        <v>0</v>
      </c>
      <c r="I715" s="58" t="str">
        <f>IF(H715&gt;0, MAX(I$1:I714)+1, "")</f>
        <v/>
      </c>
    </row>
    <row r="716" spans="1:9" x14ac:dyDescent="0.2">
      <c r="A716" t="s">
        <v>26</v>
      </c>
      <c r="B716" t="str">
        <f>'PVC Presión'!A192</f>
        <v>Conducción Fluidos</v>
      </c>
      <c r="C716" t="str">
        <f>'PVC Presión'!B192</f>
        <v>PVC PRESION / HIDRÁULICO</v>
      </c>
      <c r="D716">
        <f>'PVC Presión'!F192</f>
        <v>351204</v>
      </c>
      <c r="E716" t="str">
        <f>'PVC Presión'!G192</f>
        <v>PVC PRE FT BUJE RED LAR 32 25 CEM I</v>
      </c>
      <c r="F716">
        <f>'PVC Presión'!H192</f>
        <v>12</v>
      </c>
      <c r="G716" t="str">
        <f>'PVC Presión'!I192</f>
        <v>Bolsa</v>
      </c>
      <c r="H716">
        <f>IFERROR(IF('PVC Presión'!J192="",0,'PVC Presión'!J192),0)</f>
        <v>0</v>
      </c>
      <c r="I716" s="58" t="str">
        <f>IF(H716&gt;0, MAX(I$1:I715)+1, "")</f>
        <v/>
      </c>
    </row>
    <row r="717" spans="1:9" x14ac:dyDescent="0.2">
      <c r="A717" t="s">
        <v>26</v>
      </c>
      <c r="B717" t="str">
        <f>'PVC Presión'!A193</f>
        <v>Conducción Fluidos</v>
      </c>
      <c r="C717" t="str">
        <f>'PVC Presión'!B193</f>
        <v>PVC PRESION / HIDRÁULICO</v>
      </c>
      <c r="D717">
        <f>'PVC Presión'!F193</f>
        <v>351109</v>
      </c>
      <c r="E717" t="str">
        <f>'PVC Presión'!G193</f>
        <v>PVC PRE FT BUJE RED LAR 40 20 CEM I</v>
      </c>
      <c r="F717">
        <f>'PVC Presión'!H193</f>
        <v>15</v>
      </c>
      <c r="G717" t="str">
        <f>'PVC Presión'!I193</f>
        <v>Bolsa</v>
      </c>
      <c r="H717">
        <f>IFERROR(IF('PVC Presión'!J193="",0,'PVC Presión'!J193),0)</f>
        <v>0</v>
      </c>
      <c r="I717" s="58" t="str">
        <f>IF(H717&gt;0, MAX(I$1:I716)+1, "")</f>
        <v/>
      </c>
    </row>
    <row r="718" spans="1:9" x14ac:dyDescent="0.2">
      <c r="A718" t="s">
        <v>26</v>
      </c>
      <c r="B718" t="str">
        <f>'PVC Presión'!A194</f>
        <v>Conducción Fluidos</v>
      </c>
      <c r="C718" t="str">
        <f>'PVC Presión'!B194</f>
        <v>PVC PRESION / HIDRÁULICO</v>
      </c>
      <c r="D718">
        <f>'PVC Presión'!F194</f>
        <v>351110</v>
      </c>
      <c r="E718" t="str">
        <f>'PVC Presión'!G194</f>
        <v>PVC PRE FT BUJE RED LAR 40 25 CEM I</v>
      </c>
      <c r="F718">
        <f>'PVC Presión'!H194</f>
        <v>10</v>
      </c>
      <c r="G718" t="str">
        <f>'PVC Presión'!I194</f>
        <v>Bolsa</v>
      </c>
      <c r="H718">
        <f>IFERROR(IF('PVC Presión'!J194="",0,'PVC Presión'!J194),0)</f>
        <v>0</v>
      </c>
      <c r="I718" s="58" t="str">
        <f>IF(H718&gt;0, MAX(I$1:I717)+1, "")</f>
        <v/>
      </c>
    </row>
    <row r="719" spans="1:9" x14ac:dyDescent="0.2">
      <c r="A719" t="s">
        <v>26</v>
      </c>
      <c r="B719" t="str">
        <f>'PVC Presión'!A195</f>
        <v>Conducción Fluidos</v>
      </c>
      <c r="C719" t="str">
        <f>'PVC Presión'!B195</f>
        <v>PVC PRESION / HIDRÁULICO</v>
      </c>
      <c r="D719">
        <f>'PVC Presión'!F195</f>
        <v>351205</v>
      </c>
      <c r="E719" t="str">
        <f>'PVC Presión'!G195</f>
        <v>PVC PRE FT BUJE RED LAR 40 32 CEM I</v>
      </c>
      <c r="F719">
        <f>'PVC Presión'!H195</f>
        <v>10</v>
      </c>
      <c r="G719" t="str">
        <f>'PVC Presión'!I195</f>
        <v>Bolsa</v>
      </c>
      <c r="H719">
        <f>IFERROR(IF('PVC Presión'!J195="",0,'PVC Presión'!J195),0)</f>
        <v>0</v>
      </c>
      <c r="I719" s="58" t="str">
        <f>IF(H719&gt;0, MAX(I$1:I718)+1, "")</f>
        <v/>
      </c>
    </row>
    <row r="720" spans="1:9" x14ac:dyDescent="0.2">
      <c r="A720" t="s">
        <v>26</v>
      </c>
      <c r="B720" t="str">
        <f>'PVC Presión'!A196</f>
        <v>Conducción Fluidos</v>
      </c>
      <c r="C720" t="str">
        <f>'PVC Presión'!B196</f>
        <v>PVC PRESION / HIDRÁULICO</v>
      </c>
      <c r="D720">
        <f>'PVC Presión'!F196</f>
        <v>351111</v>
      </c>
      <c r="E720" t="str">
        <f>'PVC Presión'!G196</f>
        <v>PVC PRE FT BUJE RED LAR 50 20 CEM I</v>
      </c>
      <c r="F720">
        <f>'PVC Presión'!H196</f>
        <v>10</v>
      </c>
      <c r="G720" t="str">
        <f>'PVC Presión'!I196</f>
        <v>Bolsa</v>
      </c>
      <c r="H720">
        <f>IFERROR(IF('PVC Presión'!J196="",0,'PVC Presión'!J196),0)</f>
        <v>0</v>
      </c>
      <c r="I720" s="58" t="str">
        <f>IF(H720&gt;0, MAX(I$1:I719)+1, "")</f>
        <v/>
      </c>
    </row>
    <row r="721" spans="1:9" x14ac:dyDescent="0.2">
      <c r="A721" t="s">
        <v>26</v>
      </c>
      <c r="B721" t="str">
        <f>'PVC Presión'!A197</f>
        <v>Conducción Fluidos</v>
      </c>
      <c r="C721" t="str">
        <f>'PVC Presión'!B197</f>
        <v>PVC PRESION / HIDRÁULICO</v>
      </c>
      <c r="D721">
        <f>'PVC Presión'!F197</f>
        <v>351112</v>
      </c>
      <c r="E721" t="str">
        <f>'PVC Presión'!G197</f>
        <v>PVC PRE FT BUJE RED LAR 50 25 CEM I</v>
      </c>
      <c r="F721">
        <f>'PVC Presión'!H197</f>
        <v>8</v>
      </c>
      <c r="G721" t="str">
        <f>'PVC Presión'!I197</f>
        <v>Bolsa</v>
      </c>
      <c r="H721">
        <f>IFERROR(IF('PVC Presión'!J197="",0,'PVC Presión'!J197),0)</f>
        <v>0</v>
      </c>
      <c r="I721" s="58" t="str">
        <f>IF(H721&gt;0, MAX(I$1:I720)+1, "")</f>
        <v/>
      </c>
    </row>
    <row r="722" spans="1:9" x14ac:dyDescent="0.2">
      <c r="A722" t="s">
        <v>26</v>
      </c>
      <c r="B722" t="str">
        <f>'PVC Presión'!A198</f>
        <v>Conducción Fluidos</v>
      </c>
      <c r="C722" t="str">
        <f>'PVC Presión'!B198</f>
        <v>PVC PRESION / HIDRÁULICO</v>
      </c>
      <c r="D722">
        <f>'PVC Presión'!F198</f>
        <v>351113</v>
      </c>
      <c r="E722" t="str">
        <f>'PVC Presión'!G198</f>
        <v>PVC PRE FT BUJE RED LAR 50 32 CEM I</v>
      </c>
      <c r="F722">
        <f>'PVC Presión'!H198</f>
        <v>8</v>
      </c>
      <c r="G722" t="str">
        <f>'PVC Presión'!I198</f>
        <v>Bolsa</v>
      </c>
      <c r="H722">
        <f>IFERROR(IF('PVC Presión'!J198="",0,'PVC Presión'!J198),0)</f>
        <v>0</v>
      </c>
      <c r="I722" s="58" t="str">
        <f>IF(H722&gt;0, MAX(I$1:I721)+1, "")</f>
        <v/>
      </c>
    </row>
    <row r="723" spans="1:9" x14ac:dyDescent="0.2">
      <c r="A723" t="s">
        <v>26</v>
      </c>
      <c r="B723" t="str">
        <f>'PVC Presión'!A199</f>
        <v>Conducción Fluidos</v>
      </c>
      <c r="C723" t="str">
        <f>'PVC Presión'!B199</f>
        <v>PVC PRESION / HIDRÁULICO</v>
      </c>
      <c r="D723">
        <f>'PVC Presión'!F199</f>
        <v>351114</v>
      </c>
      <c r="E723" t="str">
        <f>'PVC Presión'!G199</f>
        <v>PVC PRE FT BUJE RED LAR 50 40 CEM I</v>
      </c>
      <c r="F723">
        <f>'PVC Presión'!H199</f>
        <v>8</v>
      </c>
      <c r="G723" t="str">
        <f>'PVC Presión'!I199</f>
        <v>Bolsa</v>
      </c>
      <c r="H723">
        <f>IFERROR(IF('PVC Presión'!J199="",0,'PVC Presión'!J199),0)</f>
        <v>0</v>
      </c>
      <c r="I723" s="58" t="str">
        <f>IF(H723&gt;0, MAX(I$1:I722)+1, "")</f>
        <v/>
      </c>
    </row>
    <row r="724" spans="1:9" x14ac:dyDescent="0.2">
      <c r="A724" t="s">
        <v>26</v>
      </c>
      <c r="B724" t="str">
        <f>'PVC Presión'!A200</f>
        <v>Conducción Fluidos</v>
      </c>
      <c r="C724" t="str">
        <f>'PVC Presión'!B200</f>
        <v>PVC PRESION / HIDRÁULICO</v>
      </c>
      <c r="D724">
        <f>'PVC Presión'!F200</f>
        <v>351115</v>
      </c>
      <c r="E724" t="str">
        <f>'PVC Presión'!G200</f>
        <v>PVC PRE FT BUJE RED LAR 63 25 CEM I</v>
      </c>
      <c r="F724">
        <f>'PVC Presión'!H200</f>
        <v>1</v>
      </c>
      <c r="G724" t="str">
        <f>'PVC Presión'!I200</f>
        <v>Unitario</v>
      </c>
      <c r="H724">
        <f>IFERROR(IF('PVC Presión'!J200="",0,'PVC Presión'!J200),0)</f>
        <v>0</v>
      </c>
      <c r="I724" s="58" t="str">
        <f>IF(H724&gt;0, MAX(I$1:I723)+1, "")</f>
        <v/>
      </c>
    </row>
    <row r="725" spans="1:9" x14ac:dyDescent="0.2">
      <c r="A725" t="s">
        <v>26</v>
      </c>
      <c r="B725" t="str">
        <f>'PVC Presión'!A201</f>
        <v>Conducción Fluidos</v>
      </c>
      <c r="C725" t="str">
        <f>'PVC Presión'!B201</f>
        <v>PVC PRESION / HIDRÁULICO</v>
      </c>
      <c r="D725">
        <f>'PVC Presión'!F201</f>
        <v>351116</v>
      </c>
      <c r="E725" t="str">
        <f>'PVC Presión'!G201</f>
        <v>PVC PRE FT BUJE RED LAR 63 32 CEM I</v>
      </c>
      <c r="F725">
        <f>'PVC Presión'!H201</f>
        <v>1</v>
      </c>
      <c r="G725" t="str">
        <f>'PVC Presión'!I201</f>
        <v>Unitario</v>
      </c>
      <c r="H725">
        <f>IFERROR(IF('PVC Presión'!J201="",0,'PVC Presión'!J201),0)</f>
        <v>0</v>
      </c>
      <c r="I725" s="58" t="str">
        <f>IF(H725&gt;0, MAX(I$1:I724)+1, "")</f>
        <v/>
      </c>
    </row>
    <row r="726" spans="1:9" x14ac:dyDescent="0.2">
      <c r="A726" t="s">
        <v>26</v>
      </c>
      <c r="B726" t="str">
        <f>'PVC Presión'!A202</f>
        <v>Conducción Fluidos</v>
      </c>
      <c r="C726" t="str">
        <f>'PVC Presión'!B202</f>
        <v>PVC PRESION / HIDRÁULICO</v>
      </c>
      <c r="D726">
        <f>'PVC Presión'!F202</f>
        <v>351117</v>
      </c>
      <c r="E726" t="str">
        <f>'PVC Presión'!G202</f>
        <v>PVC PRE FT BUJE RED LAR 63 40 CEM I</v>
      </c>
      <c r="F726">
        <f>'PVC Presión'!H202</f>
        <v>1</v>
      </c>
      <c r="G726" t="str">
        <f>'PVC Presión'!I202</f>
        <v>Unitario</v>
      </c>
      <c r="H726">
        <f>IFERROR(IF('PVC Presión'!J202="",0,'PVC Presión'!J202),0)</f>
        <v>0</v>
      </c>
      <c r="I726" s="58" t="str">
        <f>IF(H726&gt;0, MAX(I$1:I725)+1, "")</f>
        <v/>
      </c>
    </row>
    <row r="727" spans="1:9" x14ac:dyDescent="0.2">
      <c r="A727" t="s">
        <v>26</v>
      </c>
      <c r="B727" t="str">
        <f>'PVC Presión'!A203</f>
        <v>Conducción Fluidos</v>
      </c>
      <c r="C727" t="str">
        <f>'PVC Presión'!B203</f>
        <v>PVC PRESION / HIDRÁULICO</v>
      </c>
      <c r="D727">
        <f>'PVC Presión'!F203</f>
        <v>351107</v>
      </c>
      <c r="E727" t="str">
        <f>'PVC Presión'!G203</f>
        <v>PVC PRE FT BUJE RED LAR 63 50 CEM I</v>
      </c>
      <c r="F727">
        <f>'PVC Presión'!H203</f>
        <v>1</v>
      </c>
      <c r="G727" t="str">
        <f>'PVC Presión'!I203</f>
        <v>Unitario</v>
      </c>
      <c r="H727">
        <f>IFERROR(IF('PVC Presión'!J203="",0,'PVC Presión'!J203),0)</f>
        <v>0</v>
      </c>
      <c r="I727" s="58" t="str">
        <f>IF(H727&gt;0, MAX(I$1:I726)+1, "")</f>
        <v/>
      </c>
    </row>
    <row r="728" spans="1:9" x14ac:dyDescent="0.2">
      <c r="A728" t="s">
        <v>26</v>
      </c>
      <c r="B728" t="str">
        <f>'PVC Presión'!A204</f>
        <v>Conducción Fluidos</v>
      </c>
      <c r="C728" t="str">
        <f>'PVC Presión'!B204</f>
        <v>PVC PRESION / HIDRÁULICO</v>
      </c>
      <c r="D728">
        <f>'PVC Presión'!F204</f>
        <v>351219</v>
      </c>
      <c r="E728" t="str">
        <f>'PVC Presión'!G204</f>
        <v>PVC PRE FT BUJE RED LAR 75 50 CEM I</v>
      </c>
      <c r="F728">
        <f>'PVC Presión'!H204</f>
        <v>1</v>
      </c>
      <c r="G728" t="str">
        <f>'PVC Presión'!I204</f>
        <v>Unitario</v>
      </c>
      <c r="H728">
        <f>IFERROR(IF('PVC Presión'!J204="",0,'PVC Presión'!J204),0)</f>
        <v>0</v>
      </c>
      <c r="I728" s="58" t="str">
        <f>IF(H728&gt;0, MAX(I$1:I727)+1, "")</f>
        <v/>
      </c>
    </row>
    <row r="729" spans="1:9" x14ac:dyDescent="0.2">
      <c r="A729" t="s">
        <v>26</v>
      </c>
      <c r="B729" t="str">
        <f>'PVC Presión'!A205</f>
        <v>Conducción Fluidos</v>
      </c>
      <c r="C729" t="str">
        <f>'PVC Presión'!B205</f>
        <v>PVC PRESION / HIDRÁULICO</v>
      </c>
      <c r="D729">
        <f>'PVC Presión'!F205</f>
        <v>351220</v>
      </c>
      <c r="E729" t="str">
        <f>'PVC Presión'!G205</f>
        <v>PVC PRE FT BUJE RED LAR 75 63 CEM I</v>
      </c>
      <c r="F729">
        <f>'PVC Presión'!H205</f>
        <v>1</v>
      </c>
      <c r="G729" t="str">
        <f>'PVC Presión'!I205</f>
        <v>Unitario</v>
      </c>
      <c r="H729">
        <f>IFERROR(IF('PVC Presión'!J205="",0,'PVC Presión'!J205),0)</f>
        <v>0</v>
      </c>
      <c r="I729" s="58" t="str">
        <f>IF(H729&gt;0, MAX(I$1:I728)+1, "")</f>
        <v/>
      </c>
    </row>
    <row r="730" spans="1:9" x14ac:dyDescent="0.2">
      <c r="A730" t="s">
        <v>26</v>
      </c>
      <c r="B730" t="str">
        <f>'PVC Presión'!A206</f>
        <v>Conducción Fluidos</v>
      </c>
      <c r="C730" t="str">
        <f>'PVC Presión'!B206</f>
        <v>PVC PRESION / HIDRÁULICO</v>
      </c>
      <c r="D730">
        <f>'PVC Presión'!F206</f>
        <v>351221</v>
      </c>
      <c r="E730" t="str">
        <f>'PVC Presión'!G206</f>
        <v>PVC PRE FT BUJE RED LAR 90 63 CEM I</v>
      </c>
      <c r="F730">
        <f>'PVC Presión'!H206</f>
        <v>1</v>
      </c>
      <c r="G730" t="str">
        <f>'PVC Presión'!I206</f>
        <v>Unitario</v>
      </c>
      <c r="H730">
        <f>IFERROR(IF('PVC Presión'!J206="",0,'PVC Presión'!J206),0)</f>
        <v>0</v>
      </c>
      <c r="I730" s="58" t="str">
        <f>IF(H730&gt;0, MAX(I$1:I729)+1, "")</f>
        <v/>
      </c>
    </row>
    <row r="731" spans="1:9" x14ac:dyDescent="0.2">
      <c r="A731" t="s">
        <v>26</v>
      </c>
      <c r="B731" t="str">
        <f>'PVC Presión'!A207</f>
        <v>Conducción Fluidos</v>
      </c>
      <c r="C731" t="str">
        <f>'PVC Presión'!B207</f>
        <v>PVC PRESION / HIDRÁULICO</v>
      </c>
      <c r="D731">
        <f>'PVC Presión'!F207</f>
        <v>351222</v>
      </c>
      <c r="E731" t="str">
        <f>'PVC Presión'!G207</f>
        <v>PVC PRE FT BUJE RED LAR 90 75 CEM I</v>
      </c>
      <c r="F731">
        <f>'PVC Presión'!H207</f>
        <v>1</v>
      </c>
      <c r="G731" t="str">
        <f>'PVC Presión'!I207</f>
        <v>Unitario</v>
      </c>
      <c r="H731">
        <f>IFERROR(IF('PVC Presión'!J207="",0,'PVC Presión'!J207),0)</f>
        <v>0</v>
      </c>
      <c r="I731" s="58" t="str">
        <f>IF(H731&gt;0, MAX(I$1:I730)+1, "")</f>
        <v/>
      </c>
    </row>
    <row r="732" spans="1:9" x14ac:dyDescent="0.2">
      <c r="A732" t="s">
        <v>26</v>
      </c>
      <c r="B732" t="str">
        <f>'PVC Presión'!A208</f>
        <v>Conducción Fluidos</v>
      </c>
      <c r="C732" t="str">
        <f>'PVC Presión'!B208</f>
        <v>PVC PRESION / HIDRÁULICO</v>
      </c>
      <c r="D732">
        <f>'PVC Presión'!F208</f>
        <v>351206</v>
      </c>
      <c r="E732" t="str">
        <f>'PVC Presión'!G208</f>
        <v>PVC PRE FT BUJE RED LAR 110 50 CEM I</v>
      </c>
      <c r="F732">
        <f>'PVC Presión'!H208</f>
        <v>1</v>
      </c>
      <c r="G732" t="str">
        <f>'PVC Presión'!I208</f>
        <v>Unitario</v>
      </c>
      <c r="H732">
        <f>IFERROR(IF('PVC Presión'!J208="",0,'PVC Presión'!J208),0)</f>
        <v>0</v>
      </c>
      <c r="I732" s="58" t="str">
        <f>IF(H732&gt;0, MAX(I$1:I731)+1, "")</f>
        <v/>
      </c>
    </row>
    <row r="733" spans="1:9" x14ac:dyDescent="0.2">
      <c r="A733" t="s">
        <v>26</v>
      </c>
      <c r="B733" t="str">
        <f>'PVC Presión'!A209</f>
        <v>Conducción Fluidos</v>
      </c>
      <c r="C733" t="str">
        <f>'PVC Presión'!B209</f>
        <v>PVC PRESION / HIDRÁULICO</v>
      </c>
      <c r="D733">
        <f>'PVC Presión'!F209</f>
        <v>351207</v>
      </c>
      <c r="E733" t="str">
        <f>'PVC Presión'!G209</f>
        <v>PVC PRE FT BUJE RED LAR 110 63 CEM I</v>
      </c>
      <c r="F733">
        <f>'PVC Presión'!H209</f>
        <v>1</v>
      </c>
      <c r="G733" t="str">
        <f>'PVC Presión'!I209</f>
        <v>Unitario</v>
      </c>
      <c r="H733">
        <f>IFERROR(IF('PVC Presión'!J209="",0,'PVC Presión'!J209),0)</f>
        <v>0</v>
      </c>
      <c r="I733" s="58" t="str">
        <f>IF(H733&gt;0, MAX(I$1:I732)+1, "")</f>
        <v/>
      </c>
    </row>
    <row r="734" spans="1:9" x14ac:dyDescent="0.2">
      <c r="A734" t="s">
        <v>26</v>
      </c>
      <c r="B734" t="str">
        <f>'PVC Presión'!A210</f>
        <v>Conducción Fluidos</v>
      </c>
      <c r="C734" t="str">
        <f>'PVC Presión'!B210</f>
        <v>PVC PRESION / HIDRÁULICO</v>
      </c>
      <c r="D734">
        <f>'PVC Presión'!F210</f>
        <v>351208</v>
      </c>
      <c r="E734" t="str">
        <f>'PVC Presión'!G210</f>
        <v>PVC PRE FT BUJE RED LAR 110 75 CEM I</v>
      </c>
      <c r="F734">
        <f>'PVC Presión'!H210</f>
        <v>1</v>
      </c>
      <c r="G734" t="str">
        <f>'PVC Presión'!I210</f>
        <v>Unitario</v>
      </c>
      <c r="H734">
        <f>IFERROR(IF('PVC Presión'!J210="",0,'PVC Presión'!J210),0)</f>
        <v>0</v>
      </c>
      <c r="I734" s="58" t="str">
        <f>IF(H734&gt;0, MAX(I$1:I733)+1, "")</f>
        <v/>
      </c>
    </row>
    <row r="735" spans="1:9" x14ac:dyDescent="0.2">
      <c r="A735" t="s">
        <v>26</v>
      </c>
      <c r="B735" t="str">
        <f>'PVC Presión'!A211</f>
        <v>Conducción Fluidos</v>
      </c>
      <c r="C735" t="str">
        <f>'PVC Presión'!B211</f>
        <v>PVC PRESION / HIDRÁULICO</v>
      </c>
      <c r="D735">
        <f>'PVC Presión'!F211</f>
        <v>351209</v>
      </c>
      <c r="E735" t="str">
        <f>'PVC Presión'!G211</f>
        <v>PVC PRE FT BUJE RED LAR 110 90 CEM I</v>
      </c>
      <c r="F735">
        <f>'PVC Presión'!H211</f>
        <v>1</v>
      </c>
      <c r="G735" t="str">
        <f>'PVC Presión'!I211</f>
        <v>Unitario</v>
      </c>
      <c r="H735">
        <f>IFERROR(IF('PVC Presión'!J211="",0,'PVC Presión'!J211),0)</f>
        <v>0</v>
      </c>
      <c r="I735" s="58" t="str">
        <f>IF(H735&gt;0, MAX(I$1:I734)+1, "")</f>
        <v/>
      </c>
    </row>
    <row r="736" spans="1:9" x14ac:dyDescent="0.2">
      <c r="A736" t="s">
        <v>26</v>
      </c>
      <c r="B736" t="str">
        <f>'PVC Presión'!A212</f>
        <v>Conducción Fluidos</v>
      </c>
      <c r="C736" t="str">
        <f>'PVC Presión'!B212</f>
        <v>PVC PRESION / HIDRÁULICO</v>
      </c>
      <c r="D736">
        <f>'PVC Presión'!F212</f>
        <v>351210</v>
      </c>
      <c r="E736" t="str">
        <f>'PVC Presión'!G212</f>
        <v>PVC PRE FT BUJE RED LAR 125 63 CEM I</v>
      </c>
      <c r="F736">
        <f>'PVC Presión'!H212</f>
        <v>1</v>
      </c>
      <c r="G736" t="str">
        <f>'PVC Presión'!I212</f>
        <v>Unitario</v>
      </c>
      <c r="H736">
        <f>IFERROR(IF('PVC Presión'!J212="",0,'PVC Presión'!J212),0)</f>
        <v>0</v>
      </c>
      <c r="I736" s="58" t="str">
        <f>IF(H736&gt;0, MAX(I$1:I735)+1, "")</f>
        <v/>
      </c>
    </row>
    <row r="737" spans="1:9" x14ac:dyDescent="0.2">
      <c r="A737" t="s">
        <v>26</v>
      </c>
      <c r="B737" t="str">
        <f>'PVC Presión'!A213</f>
        <v>Conducción Fluidos</v>
      </c>
      <c r="C737" t="str">
        <f>'PVC Presión'!B213</f>
        <v>PVC PRESION / HIDRÁULICO</v>
      </c>
      <c r="D737">
        <f>'PVC Presión'!F213</f>
        <v>351211</v>
      </c>
      <c r="E737" t="str">
        <f>'PVC Presión'!G213</f>
        <v>PVC PRE FT BUJE RED LAR 125 75 CEM I</v>
      </c>
      <c r="F737">
        <f>'PVC Presión'!H213</f>
        <v>1</v>
      </c>
      <c r="G737" t="str">
        <f>'PVC Presión'!I213</f>
        <v>Unitario</v>
      </c>
      <c r="H737">
        <f>IFERROR(IF('PVC Presión'!J213="",0,'PVC Presión'!J213),0)</f>
        <v>0</v>
      </c>
      <c r="I737" s="58" t="str">
        <f>IF(H737&gt;0, MAX(I$1:I736)+1, "")</f>
        <v/>
      </c>
    </row>
    <row r="738" spans="1:9" x14ac:dyDescent="0.2">
      <c r="A738" t="s">
        <v>26</v>
      </c>
      <c r="B738" t="str">
        <f>'PVC Presión'!A214</f>
        <v>Conducción Fluidos</v>
      </c>
      <c r="C738" t="str">
        <f>'PVC Presión'!B214</f>
        <v>PVC PRESION / HIDRÁULICO</v>
      </c>
      <c r="D738">
        <f>'PVC Presión'!F214</f>
        <v>351212</v>
      </c>
      <c r="E738" t="str">
        <f>'PVC Presión'!G214</f>
        <v>PVC PRE FT BUJE RED LAR 125 90 CEM I</v>
      </c>
      <c r="F738">
        <f>'PVC Presión'!H214</f>
        <v>1</v>
      </c>
      <c r="G738" t="str">
        <f>'PVC Presión'!I214</f>
        <v>Unitario</v>
      </c>
      <c r="H738">
        <f>IFERROR(IF('PVC Presión'!J214="",0,'PVC Presión'!J214),0)</f>
        <v>0</v>
      </c>
      <c r="I738" s="58" t="str">
        <f>IF(H738&gt;0, MAX(I$1:I737)+1, "")</f>
        <v/>
      </c>
    </row>
    <row r="739" spans="1:9" x14ac:dyDescent="0.2">
      <c r="A739" t="s">
        <v>26</v>
      </c>
      <c r="B739" t="str">
        <f>'PVC Presión'!A215</f>
        <v>Conducción Fluidos</v>
      </c>
      <c r="C739" t="str">
        <f>'PVC Presión'!B215</f>
        <v>PVC PRESION / HIDRÁULICO</v>
      </c>
      <c r="D739">
        <f>'PVC Presión'!F215</f>
        <v>351213</v>
      </c>
      <c r="E739" t="str">
        <f>'PVC Presión'!G215</f>
        <v>PVC PRE FT BUJE RED LAR 125 110 CEM I</v>
      </c>
      <c r="F739">
        <f>'PVC Presión'!H215</f>
        <v>1</v>
      </c>
      <c r="G739" t="str">
        <f>'PVC Presión'!I215</f>
        <v>Unitario</v>
      </c>
      <c r="H739">
        <f>IFERROR(IF('PVC Presión'!J215="",0,'PVC Presión'!J215),0)</f>
        <v>0</v>
      </c>
      <c r="I739" s="58" t="str">
        <f>IF(H739&gt;0, MAX(I$1:I738)+1, "")</f>
        <v/>
      </c>
    </row>
    <row r="740" spans="1:9" x14ac:dyDescent="0.2">
      <c r="A740" t="s">
        <v>26</v>
      </c>
      <c r="B740" t="str">
        <f>'PVC Presión'!A216</f>
        <v>Conducción Fluidos</v>
      </c>
      <c r="C740" t="str">
        <f>'PVC Presión'!B216</f>
        <v>PVC PRESION / HIDRÁULICO</v>
      </c>
      <c r="D740">
        <f>'PVC Presión'!F216</f>
        <v>351214</v>
      </c>
      <c r="E740" t="str">
        <f>'PVC Presión'!G216</f>
        <v>PVC PRE FT BUJE RED LAR 160 90 CEM I</v>
      </c>
      <c r="F740">
        <f>'PVC Presión'!H216</f>
        <v>1</v>
      </c>
      <c r="G740" t="str">
        <f>'PVC Presión'!I216</f>
        <v>Unitario</v>
      </c>
      <c r="H740">
        <f>IFERROR(IF('PVC Presión'!J216="",0,'PVC Presión'!J216),0)</f>
        <v>0</v>
      </c>
      <c r="I740" s="58" t="str">
        <f>IF(H740&gt;0, MAX(I$1:I739)+1, "")</f>
        <v/>
      </c>
    </row>
    <row r="741" spans="1:9" x14ac:dyDescent="0.2">
      <c r="A741" t="s">
        <v>26</v>
      </c>
      <c r="B741" t="str">
        <f>'PVC Presión'!A217</f>
        <v>Conducción Fluidos</v>
      </c>
      <c r="C741" t="str">
        <f>'PVC Presión'!B217</f>
        <v>PVC PRESION / HIDRÁULICO</v>
      </c>
      <c r="D741">
        <f>'PVC Presión'!F217</f>
        <v>351215</v>
      </c>
      <c r="E741" t="str">
        <f>'PVC Presión'!G217</f>
        <v>PVC PRE FT BUJE RED LAR 160 110 CEM I</v>
      </c>
      <c r="F741">
        <f>'PVC Presión'!H217</f>
        <v>1</v>
      </c>
      <c r="G741" t="str">
        <f>'PVC Presión'!I217</f>
        <v>Unitario</v>
      </c>
      <c r="H741">
        <f>IFERROR(IF('PVC Presión'!J217="",0,'PVC Presión'!J217),0)</f>
        <v>0</v>
      </c>
      <c r="I741" s="58" t="str">
        <f>IF(H741&gt;0, MAX(I$1:I740)+1, "")</f>
        <v/>
      </c>
    </row>
    <row r="742" spans="1:9" x14ac:dyDescent="0.2">
      <c r="A742" t="s">
        <v>26</v>
      </c>
      <c r="B742" t="str">
        <f>'PVC Presión'!A218</f>
        <v>Conducción Fluidos</v>
      </c>
      <c r="C742" t="str">
        <f>'PVC Presión'!B218</f>
        <v>PVC PRESION / HIDRÁULICO</v>
      </c>
      <c r="D742">
        <f>'PVC Presión'!F218</f>
        <v>351216</v>
      </c>
      <c r="E742" t="str">
        <f>'PVC Presión'!G218</f>
        <v>PVC PRE FT BUJE RED LAR 160 125 CEM I</v>
      </c>
      <c r="F742">
        <f>'PVC Presión'!H218</f>
        <v>1</v>
      </c>
      <c r="G742" t="str">
        <f>'PVC Presión'!I218</f>
        <v>Unitario</v>
      </c>
      <c r="H742">
        <f>IFERROR(IF('PVC Presión'!J218="",0,'PVC Presión'!J218),0)</f>
        <v>0</v>
      </c>
      <c r="I742" s="58" t="str">
        <f>IF(H742&gt;0, MAX(I$1:I741)+1, "")</f>
        <v/>
      </c>
    </row>
    <row r="743" spans="1:9" x14ac:dyDescent="0.2">
      <c r="A743" t="s">
        <v>26</v>
      </c>
      <c r="B743" t="str">
        <f>'PVC Presión'!A219</f>
        <v>Conducción Fluidos</v>
      </c>
      <c r="C743" t="str">
        <f>'PVC Presión'!B219</f>
        <v>PVC PRESION / HIDRÁULICO</v>
      </c>
      <c r="D743">
        <f>'PVC Presión'!F219</f>
        <v>351217</v>
      </c>
      <c r="E743" t="str">
        <f>'PVC Presión'!G219</f>
        <v>PVC PRE FT BUJE RED LAR 200 110 CEM I</v>
      </c>
      <c r="F743">
        <f>'PVC Presión'!H219</f>
        <v>1</v>
      </c>
      <c r="G743" t="str">
        <f>'PVC Presión'!I219</f>
        <v>Unitario</v>
      </c>
      <c r="H743">
        <f>IFERROR(IF('PVC Presión'!J219="",0,'PVC Presión'!J219),0)</f>
        <v>0</v>
      </c>
      <c r="I743" s="58" t="str">
        <f>IF(H743&gt;0, MAX(I$1:I742)+1, "")</f>
        <v/>
      </c>
    </row>
    <row r="744" spans="1:9" x14ac:dyDescent="0.2">
      <c r="A744" t="s">
        <v>26</v>
      </c>
      <c r="B744" t="str">
        <f>'PVC Presión'!A220</f>
        <v>Conducción Fluidos</v>
      </c>
      <c r="C744" t="str">
        <f>'PVC Presión'!B220</f>
        <v>PVC PRESION / HIDRÁULICO</v>
      </c>
      <c r="D744">
        <f>'PVC Presión'!F220</f>
        <v>351218</v>
      </c>
      <c r="E744" t="str">
        <f>'PVC Presión'!G220</f>
        <v>PVC PRE FT BUJE RED LAR 200 160 CEM I</v>
      </c>
      <c r="F744">
        <f>'PVC Presión'!H220</f>
        <v>1</v>
      </c>
      <c r="G744" t="str">
        <f>'PVC Presión'!I220</f>
        <v>Unitario</v>
      </c>
      <c r="H744">
        <f>IFERROR(IF('PVC Presión'!J220="",0,'PVC Presión'!J220),0)</f>
        <v>0</v>
      </c>
      <c r="I744" s="58" t="str">
        <f>IF(H744&gt;0, MAX(I$1:I743)+1, "")</f>
        <v/>
      </c>
    </row>
    <row r="745" spans="1:9" x14ac:dyDescent="0.2">
      <c r="A745" t="s">
        <v>26</v>
      </c>
      <c r="B745" t="str">
        <f>'PVC Presión'!A221</f>
        <v>Conducción Fluidos</v>
      </c>
      <c r="C745" t="str">
        <f>'PVC Presión'!B221</f>
        <v>PVC PRESION / HIDRÁULICO</v>
      </c>
      <c r="D745">
        <f>'PVC Presión'!F221</f>
        <v>351103</v>
      </c>
      <c r="E745" t="str">
        <f>'PVC Presión'!G221</f>
        <v>PVC PRE FT BUJE RED COR 25 20 CEM I</v>
      </c>
      <c r="F745">
        <f>'PVC Presión'!H221</f>
        <v>30</v>
      </c>
      <c r="G745" t="str">
        <f>'PVC Presión'!I221</f>
        <v>Bolsa</v>
      </c>
      <c r="H745">
        <f>IFERROR(IF('PVC Presión'!J221="",0,'PVC Presión'!J221),0)</f>
        <v>0</v>
      </c>
      <c r="I745" s="58" t="str">
        <f>IF(H745&gt;0, MAX(I$1:I744)+1, "")</f>
        <v/>
      </c>
    </row>
    <row r="746" spans="1:9" x14ac:dyDescent="0.2">
      <c r="A746" t="s">
        <v>26</v>
      </c>
      <c r="B746" t="str">
        <f>'PVC Presión'!A222</f>
        <v>Conducción Fluidos</v>
      </c>
      <c r="C746" t="str">
        <f>'PVC Presión'!B222</f>
        <v>PVC PRESION / HIDRÁULICO</v>
      </c>
      <c r="D746">
        <f>'PVC Presión'!F222</f>
        <v>351104</v>
      </c>
      <c r="E746" t="str">
        <f>'PVC Presión'!G222</f>
        <v>PVC PRE FT BUJE RED COR 32 25 CEM I</v>
      </c>
      <c r="F746">
        <f>'PVC Presión'!H222</f>
        <v>30</v>
      </c>
      <c r="G746" t="str">
        <f>'PVC Presión'!I222</f>
        <v>Bolsa</v>
      </c>
      <c r="H746">
        <f>IFERROR(IF('PVC Presión'!J222="",0,'PVC Presión'!J222),0)</f>
        <v>0</v>
      </c>
      <c r="I746" s="58" t="str">
        <f>IF(H746&gt;0, MAX(I$1:I745)+1, "")</f>
        <v/>
      </c>
    </row>
    <row r="747" spans="1:9" x14ac:dyDescent="0.2">
      <c r="A747" t="s">
        <v>26</v>
      </c>
      <c r="B747" t="str">
        <f>'PVC Presión'!A223</f>
        <v>Conducción Fluidos</v>
      </c>
      <c r="C747" t="str">
        <f>'PVC Presión'!B223</f>
        <v>PVC PRESION / HIDRÁULICO</v>
      </c>
      <c r="D747">
        <f>'PVC Presión'!F223</f>
        <v>351105</v>
      </c>
      <c r="E747" t="str">
        <f>'PVC Presión'!G223</f>
        <v>PVC PRE FT BUJE RED COR 40 32 CEM I</v>
      </c>
      <c r="F747">
        <f>'PVC Presión'!H223</f>
        <v>17</v>
      </c>
      <c r="G747" t="str">
        <f>'PVC Presión'!I223</f>
        <v>Bolsa</v>
      </c>
      <c r="H747">
        <f>IFERROR(IF('PVC Presión'!J223="",0,'PVC Presión'!J223),0)</f>
        <v>0</v>
      </c>
      <c r="I747" s="58" t="str">
        <f>IF(H747&gt;0, MAX(I$1:I746)+1, "")</f>
        <v/>
      </c>
    </row>
    <row r="748" spans="1:9" x14ac:dyDescent="0.2">
      <c r="A748" t="s">
        <v>26</v>
      </c>
      <c r="B748" t="str">
        <f>'PVC Presión'!A224</f>
        <v>Conducción Fluidos</v>
      </c>
      <c r="C748" t="str">
        <f>'PVC Presión'!B224</f>
        <v>PVC PRESION / HIDRÁULICO</v>
      </c>
      <c r="D748">
        <f>'PVC Presión'!F224</f>
        <v>351106</v>
      </c>
      <c r="E748" t="str">
        <f>'PVC Presión'!G224</f>
        <v>PVC PRE FT BUJE RED COR 50 40 CEM I</v>
      </c>
      <c r="F748">
        <f>'PVC Presión'!H224</f>
        <v>10</v>
      </c>
      <c r="G748" t="str">
        <f>'PVC Presión'!I224</f>
        <v>Bolsa</v>
      </c>
      <c r="H748">
        <f>IFERROR(IF('PVC Presión'!J224="",0,'PVC Presión'!J224),0)</f>
        <v>0</v>
      </c>
      <c r="I748" s="58" t="str">
        <f>IF(H748&gt;0, MAX(I$1:I747)+1, "")</f>
        <v/>
      </c>
    </row>
    <row r="749" spans="1:9" x14ac:dyDescent="0.2">
      <c r="A749" t="s">
        <v>26</v>
      </c>
      <c r="B749" t="str">
        <f>'PVC Presión'!A225</f>
        <v>Conducción Fluidos</v>
      </c>
      <c r="C749" t="str">
        <f>'PVC Presión'!B225</f>
        <v>PVC PRESION / HIDRÁULICO</v>
      </c>
      <c r="D749">
        <f>'PVC Presión'!F225</f>
        <v>351118</v>
      </c>
      <c r="E749" t="str">
        <f>'PVC Presión'!G225</f>
        <v>PVC PRE FT BUJE RED COR 63 50 CEM I</v>
      </c>
      <c r="F749">
        <f>'PVC Presión'!H225</f>
        <v>10</v>
      </c>
      <c r="G749" t="str">
        <f>'PVC Presión'!I225</f>
        <v>Bolsa</v>
      </c>
      <c r="H749">
        <f>IFERROR(IF('PVC Presión'!J225="",0,'PVC Presión'!J225),0)</f>
        <v>0</v>
      </c>
      <c r="I749" s="58" t="str">
        <f>IF(H749&gt;0, MAX(I$1:I748)+1, "")</f>
        <v/>
      </c>
    </row>
    <row r="750" spans="1:9" x14ac:dyDescent="0.2">
      <c r="A750" t="s">
        <v>26</v>
      </c>
      <c r="B750" t="str">
        <f>'PVC Presión'!A226</f>
        <v>Conducción Fluidos</v>
      </c>
      <c r="C750" t="str">
        <f>'PVC Presión'!B226</f>
        <v>PVC PRESION / HIDRÁULICO</v>
      </c>
      <c r="D750">
        <f>'PVC Presión'!F226</f>
        <v>351602</v>
      </c>
      <c r="E750" t="str">
        <f>'PVC Presión'!G226</f>
        <v>PVC PRE FT BUJE RED HE-HI 3/4 X 1/2¨ I</v>
      </c>
      <c r="F750">
        <f>'PVC Presión'!H226</f>
        <v>31</v>
      </c>
      <c r="G750" t="str">
        <f>'PVC Presión'!I226</f>
        <v>Bolsa</v>
      </c>
      <c r="H750">
        <f>IFERROR(IF('PVC Presión'!J226="",0,'PVC Presión'!J226),0)</f>
        <v>0</v>
      </c>
      <c r="I750" s="58" t="str">
        <f>IF(H750&gt;0, MAX(I$1:I749)+1, "")</f>
        <v/>
      </c>
    </row>
    <row r="751" spans="1:9" x14ac:dyDescent="0.2">
      <c r="A751" t="s">
        <v>26</v>
      </c>
      <c r="B751" t="str">
        <f>'PVC Presión'!A227</f>
        <v>Conducción Fluidos</v>
      </c>
      <c r="C751" t="str">
        <f>'PVC Presión'!B227</f>
        <v>PVC PRESION / HIDRÁULICO</v>
      </c>
      <c r="D751">
        <f>'PVC Presión'!F227</f>
        <v>351603</v>
      </c>
      <c r="E751" t="str">
        <f>'PVC Presión'!G227</f>
        <v>PVC PRE FT BUJE RED HE-HI 1 X 1/2¨ I</v>
      </c>
      <c r="F751">
        <f>'PVC Presión'!H227</f>
        <v>20</v>
      </c>
      <c r="G751" t="str">
        <f>'PVC Presión'!I227</f>
        <v>Bolsa</v>
      </c>
      <c r="H751">
        <f>IFERROR(IF('PVC Presión'!J227="",0,'PVC Presión'!J227),0)</f>
        <v>0</v>
      </c>
      <c r="I751" s="58" t="str">
        <f>IF(H751&gt;0, MAX(I$1:I750)+1, "")</f>
        <v/>
      </c>
    </row>
    <row r="752" spans="1:9" x14ac:dyDescent="0.2">
      <c r="A752" t="s">
        <v>26</v>
      </c>
      <c r="B752" t="str">
        <f>'PVC Presión'!A228</f>
        <v>Conducción Fluidos</v>
      </c>
      <c r="C752" t="str">
        <f>'PVC Presión'!B228</f>
        <v>PVC PRESION / HIDRÁULICO</v>
      </c>
      <c r="D752">
        <f>'PVC Presión'!F228</f>
        <v>351604</v>
      </c>
      <c r="E752" t="str">
        <f>'PVC Presión'!G228</f>
        <v>PVC PRE FT BUJE RED HE-HI 1 X 3/4¨ I</v>
      </c>
      <c r="F752">
        <f>'PVC Presión'!H228</f>
        <v>20</v>
      </c>
      <c r="G752" t="str">
        <f>'PVC Presión'!I228</f>
        <v>Bolsa</v>
      </c>
      <c r="H752">
        <f>IFERROR(IF('PVC Presión'!J228="",0,'PVC Presión'!J228),0)</f>
        <v>0</v>
      </c>
      <c r="I752" s="58" t="str">
        <f>IF(H752&gt;0, MAX(I$1:I751)+1, "")</f>
        <v/>
      </c>
    </row>
    <row r="753" spans="1:9" x14ac:dyDescent="0.2">
      <c r="A753" t="s">
        <v>26</v>
      </c>
      <c r="B753" t="str">
        <f>'PVC Presión'!A229</f>
        <v>Conducción Fluidos</v>
      </c>
      <c r="C753" t="str">
        <f>'PVC Presión'!B229</f>
        <v>PVC PRESION / HIDRÁULICO</v>
      </c>
      <c r="D753">
        <f>'PVC Presión'!F229</f>
        <v>351502</v>
      </c>
      <c r="E753" t="str">
        <f>'PVC Presión'!G229</f>
        <v>PVC PRE FT NIPLE 1/2¨ I</v>
      </c>
      <c r="F753">
        <f>'PVC Presión'!H229</f>
        <v>25</v>
      </c>
      <c r="G753" t="str">
        <f>'PVC Presión'!I229</f>
        <v>Bolsa</v>
      </c>
      <c r="H753">
        <f>IFERROR(IF('PVC Presión'!J229="",0,'PVC Presión'!J229),0)</f>
        <v>0</v>
      </c>
      <c r="I753" s="58" t="str">
        <f>IF(H753&gt;0, MAX(I$1:I752)+1, "")</f>
        <v/>
      </c>
    </row>
    <row r="754" spans="1:9" x14ac:dyDescent="0.2">
      <c r="A754" t="s">
        <v>26</v>
      </c>
      <c r="B754" t="str">
        <f>'PVC Presión'!A230</f>
        <v>Conducción Fluidos</v>
      </c>
      <c r="C754" t="str">
        <f>'PVC Presión'!B230</f>
        <v>PVC PRESION / HIDRÁULICO</v>
      </c>
      <c r="D754">
        <f>'PVC Presión'!F230</f>
        <v>351503</v>
      </c>
      <c r="E754" t="str">
        <f>'PVC Presión'!G230</f>
        <v>PVC PRE FT NIPLE 3/4¨ I</v>
      </c>
      <c r="F754">
        <f>'PVC Presión'!H230</f>
        <v>20</v>
      </c>
      <c r="G754" t="str">
        <f>'PVC Presión'!I230</f>
        <v>Bolsa</v>
      </c>
      <c r="H754">
        <f>IFERROR(IF('PVC Presión'!J230="",0,'PVC Presión'!J230),0)</f>
        <v>0</v>
      </c>
      <c r="I754" s="58" t="str">
        <f>IF(H754&gt;0, MAX(I$1:I753)+1, "")</f>
        <v/>
      </c>
    </row>
    <row r="755" spans="1:9" x14ac:dyDescent="0.2">
      <c r="A755" t="s">
        <v>26</v>
      </c>
      <c r="B755" t="str">
        <f>'PVC Presión'!A231</f>
        <v>Conducción Fluidos</v>
      </c>
      <c r="C755" t="str">
        <f>'PVC Presión'!B231</f>
        <v>PVC PRESION / HIDRÁULICO</v>
      </c>
      <c r="D755">
        <f>'PVC Presión'!F231</f>
        <v>351504</v>
      </c>
      <c r="E755" t="str">
        <f>'PVC Presión'!G231</f>
        <v>PVC PRE FT NIPLE 1¨ I</v>
      </c>
      <c r="F755">
        <f>'PVC Presión'!H231</f>
        <v>10</v>
      </c>
      <c r="G755" t="str">
        <f>'PVC Presión'!I231</f>
        <v>Bolsa</v>
      </c>
      <c r="H755">
        <f>IFERROR(IF('PVC Presión'!J231="",0,'PVC Presión'!J231),0)</f>
        <v>0</v>
      </c>
      <c r="I755" s="58" t="str">
        <f>IF(H755&gt;0, MAX(I$1:I754)+1, "")</f>
        <v/>
      </c>
    </row>
    <row r="756" spans="1:9" x14ac:dyDescent="0.2">
      <c r="A756" t="s">
        <v>26</v>
      </c>
      <c r="B756" t="str">
        <f>'PVC Presión'!A232</f>
        <v>Conducción Fluidos</v>
      </c>
      <c r="C756" t="str">
        <f>'PVC Presión'!B232</f>
        <v>PVC PRESION / HIDRÁULICO</v>
      </c>
      <c r="D756">
        <f>'PVC Presión'!F232</f>
        <v>350802</v>
      </c>
      <c r="E756" t="str">
        <f>'PVC Presión'!G232</f>
        <v>PVC PRE FT TAPA 20 CEM I</v>
      </c>
      <c r="F756">
        <f>'PVC Presión'!H232</f>
        <v>50</v>
      </c>
      <c r="G756" t="str">
        <f>'PVC Presión'!I232</f>
        <v>Bolsa</v>
      </c>
      <c r="H756">
        <f>IFERROR(IF('PVC Presión'!J232="",0,'PVC Presión'!J232),0)</f>
        <v>0</v>
      </c>
      <c r="I756" s="58" t="str">
        <f>IF(H756&gt;0, MAX(I$1:I755)+1, "")</f>
        <v/>
      </c>
    </row>
    <row r="757" spans="1:9" x14ac:dyDescent="0.2">
      <c r="A757" t="s">
        <v>26</v>
      </c>
      <c r="B757" t="str">
        <f>'PVC Presión'!A233</f>
        <v>Conducción Fluidos</v>
      </c>
      <c r="C757" t="str">
        <f>'PVC Presión'!B233</f>
        <v>PVC PRESION / HIDRÁULICO</v>
      </c>
      <c r="D757">
        <f>'PVC Presión'!F233</f>
        <v>350803</v>
      </c>
      <c r="E757" t="str">
        <f>'PVC Presión'!G233</f>
        <v>PVC PRE FT TAPA 25 CEM I</v>
      </c>
      <c r="F757">
        <f>'PVC Presión'!H233</f>
        <v>30</v>
      </c>
      <c r="G757" t="str">
        <f>'PVC Presión'!I233</f>
        <v>Bolsa</v>
      </c>
      <c r="H757">
        <f>IFERROR(IF('PVC Presión'!J233="",0,'PVC Presión'!J233),0)</f>
        <v>0</v>
      </c>
      <c r="I757" s="58" t="str">
        <f>IF(H757&gt;0, MAX(I$1:I756)+1, "")</f>
        <v/>
      </c>
    </row>
    <row r="758" spans="1:9" x14ac:dyDescent="0.2">
      <c r="A758" t="s">
        <v>26</v>
      </c>
      <c r="B758" t="str">
        <f>'PVC Presión'!A234</f>
        <v>Conducción Fluidos</v>
      </c>
      <c r="C758" t="str">
        <f>'PVC Presión'!B234</f>
        <v>PVC PRESION / HIDRÁULICO</v>
      </c>
      <c r="D758">
        <f>'PVC Presión'!F234</f>
        <v>350804</v>
      </c>
      <c r="E758" t="str">
        <f>'PVC Presión'!G234</f>
        <v>PVC PRE FT TAPA 32 CEM I</v>
      </c>
      <c r="F758">
        <f>'PVC Presión'!H234</f>
        <v>15</v>
      </c>
      <c r="G758" t="str">
        <f>'PVC Presión'!I234</f>
        <v>Bolsa</v>
      </c>
      <c r="H758">
        <f>IFERROR(IF('PVC Presión'!J234="",0,'PVC Presión'!J234),0)</f>
        <v>0</v>
      </c>
      <c r="I758" s="58" t="str">
        <f>IF(H758&gt;0, MAX(I$1:I757)+1, "")</f>
        <v/>
      </c>
    </row>
    <row r="759" spans="1:9" x14ac:dyDescent="0.2">
      <c r="A759" t="s">
        <v>26</v>
      </c>
      <c r="B759" t="str">
        <f>'PVC Presión'!A235</f>
        <v>Conducción Fluidos</v>
      </c>
      <c r="C759" t="str">
        <f>'PVC Presión'!B235</f>
        <v>PVC PRESION / HIDRÁULICO</v>
      </c>
      <c r="D759">
        <f>'PVC Presión'!F235</f>
        <v>350805</v>
      </c>
      <c r="E759" t="str">
        <f>'PVC Presión'!G235</f>
        <v>PVC PRE FT TAPA 40 CEM I</v>
      </c>
      <c r="F759">
        <f>'PVC Presión'!H235</f>
        <v>15</v>
      </c>
      <c r="G759" t="str">
        <f>'PVC Presión'!I235</f>
        <v>Bolsa</v>
      </c>
      <c r="H759">
        <f>IFERROR(IF('PVC Presión'!J235="",0,'PVC Presión'!J235),0)</f>
        <v>0</v>
      </c>
      <c r="I759" s="58" t="str">
        <f>IF(H759&gt;0, MAX(I$1:I758)+1, "")</f>
        <v/>
      </c>
    </row>
    <row r="760" spans="1:9" x14ac:dyDescent="0.2">
      <c r="A760" t="s">
        <v>26</v>
      </c>
      <c r="B760" t="str">
        <f>'PVC Presión'!A236</f>
        <v>Conducción Fluidos</v>
      </c>
      <c r="C760" t="str">
        <f>'PVC Presión'!B236</f>
        <v>PVC PRESION / HIDRÁULICO</v>
      </c>
      <c r="D760">
        <f>'PVC Presión'!F236</f>
        <v>350806</v>
      </c>
      <c r="E760" t="str">
        <f>'PVC Presión'!G236</f>
        <v>PVC PRE FT TAPA 50 CEM I</v>
      </c>
      <c r="F760">
        <f>'PVC Presión'!H236</f>
        <v>10</v>
      </c>
      <c r="G760" t="str">
        <f>'PVC Presión'!I236</f>
        <v>Bolsa</v>
      </c>
      <c r="H760">
        <f>IFERROR(IF('PVC Presión'!J236="",0,'PVC Presión'!J236),0)</f>
        <v>0</v>
      </c>
      <c r="I760" s="58" t="str">
        <f>IF(H760&gt;0, MAX(I$1:I759)+1, "")</f>
        <v/>
      </c>
    </row>
    <row r="761" spans="1:9" x14ac:dyDescent="0.2">
      <c r="A761" t="s">
        <v>26</v>
      </c>
      <c r="B761" t="str">
        <f>'PVC Presión'!A237</f>
        <v>Conducción Fluidos</v>
      </c>
      <c r="C761" t="str">
        <f>'PVC Presión'!B237</f>
        <v>PVC PRESION / HIDRÁULICO</v>
      </c>
      <c r="D761">
        <f>'PVC Presión'!F237</f>
        <v>350807</v>
      </c>
      <c r="E761" t="str">
        <f>'PVC Presión'!G237</f>
        <v>PVC PRE FT TAPA 63 CEM I</v>
      </c>
      <c r="F761">
        <f>'PVC Presión'!H237</f>
        <v>10</v>
      </c>
      <c r="G761" t="str">
        <f>'PVC Presión'!I237</f>
        <v>Bolsa</v>
      </c>
      <c r="H761">
        <f>IFERROR(IF('PVC Presión'!J237="",0,'PVC Presión'!J237),0)</f>
        <v>0</v>
      </c>
      <c r="I761" s="58" t="str">
        <f>IF(H761&gt;0, MAX(I$1:I760)+1, "")</f>
        <v/>
      </c>
    </row>
    <row r="762" spans="1:9" x14ac:dyDescent="0.2">
      <c r="A762" t="s">
        <v>26</v>
      </c>
      <c r="B762" t="str">
        <f>'PVC Presión'!A238</f>
        <v>Conducción Fluidos</v>
      </c>
      <c r="C762" t="str">
        <f>'PVC Presión'!B238</f>
        <v>PVC PRESION / HIDRÁULICO</v>
      </c>
      <c r="D762">
        <f>'PVC Presión'!F238</f>
        <v>351402</v>
      </c>
      <c r="E762" t="str">
        <f>'PVC Presión'!G238</f>
        <v>PVC PRE FT TAPA HE 1/2¨ I</v>
      </c>
      <c r="F762">
        <f>'PVC Presión'!H238</f>
        <v>30</v>
      </c>
      <c r="G762" t="str">
        <f>'PVC Presión'!I238</f>
        <v>Bolsa</v>
      </c>
      <c r="H762">
        <f>IFERROR(IF('PVC Presión'!J238="",0,'PVC Presión'!J238),0)</f>
        <v>0</v>
      </c>
      <c r="I762" s="58" t="str">
        <f>IF(H762&gt;0, MAX(I$1:I761)+1, "")</f>
        <v/>
      </c>
    </row>
    <row r="763" spans="1:9" x14ac:dyDescent="0.2">
      <c r="A763" t="s">
        <v>26</v>
      </c>
      <c r="B763" t="str">
        <f>'PVC Presión'!A239</f>
        <v>Conducción Fluidos</v>
      </c>
      <c r="C763" t="str">
        <f>'PVC Presión'!B239</f>
        <v>PVC PRESION / HIDRÁULICO</v>
      </c>
      <c r="D763">
        <f>'PVC Presión'!F239</f>
        <v>351403</v>
      </c>
      <c r="E763" t="str">
        <f>'PVC Presión'!G239</f>
        <v>PVC PRE FT TAPA HE 3/4¨ I</v>
      </c>
      <c r="F763">
        <f>'PVC Presión'!H239</f>
        <v>40</v>
      </c>
      <c r="G763" t="str">
        <f>'PVC Presión'!I239</f>
        <v>Bolsa</v>
      </c>
      <c r="H763">
        <f>IFERROR(IF('PVC Presión'!J239="",0,'PVC Presión'!J239),0)</f>
        <v>0</v>
      </c>
      <c r="I763" s="58" t="str">
        <f>IF(H763&gt;0, MAX(I$1:I762)+1, "")</f>
        <v/>
      </c>
    </row>
    <row r="764" spans="1:9" x14ac:dyDescent="0.2">
      <c r="A764" t="s">
        <v>26</v>
      </c>
      <c r="B764" t="str">
        <f>'PVC Presión'!A240</f>
        <v>Conducción Fluidos</v>
      </c>
      <c r="C764" t="str">
        <f>'PVC Presión'!B240</f>
        <v>PVC PRESION / HIDRÁULICO</v>
      </c>
      <c r="D764">
        <f>'PVC Presión'!F240</f>
        <v>351404</v>
      </c>
      <c r="E764" t="str">
        <f>'PVC Presión'!G240</f>
        <v>PVC PRE FT TAPA HE 1¨ I</v>
      </c>
      <c r="F764">
        <f>'PVC Presión'!H240</f>
        <v>50</v>
      </c>
      <c r="G764" t="str">
        <f>'PVC Presión'!I240</f>
        <v>Bolsa</v>
      </c>
      <c r="H764">
        <f>IFERROR(IF('PVC Presión'!J240="",0,'PVC Presión'!J240),0)</f>
        <v>0</v>
      </c>
      <c r="I764" s="58" t="str">
        <f>IF(H764&gt;0, MAX(I$1:I763)+1, "")</f>
        <v/>
      </c>
    </row>
    <row r="765" spans="1:9" x14ac:dyDescent="0.2">
      <c r="A765" t="s">
        <v>26</v>
      </c>
      <c r="B765" t="str">
        <f>'PVC Presión'!A241</f>
        <v>Conducción Fluidos</v>
      </c>
      <c r="C765" t="str">
        <f>'PVC Presión'!B241</f>
        <v>PVC PRESION / HIDRÁULICO</v>
      </c>
      <c r="D765">
        <f>'PVC Presión'!F241</f>
        <v>351411</v>
      </c>
      <c r="E765" t="str">
        <f>'PVC Presión'!G241</f>
        <v>PVC PRE FT TAPA HI 1/2' I</v>
      </c>
      <c r="F765">
        <f>'PVC Presión'!H241</f>
        <v>34</v>
      </c>
      <c r="G765" t="str">
        <f>'PVC Presión'!I241</f>
        <v>Bolsa</v>
      </c>
      <c r="H765">
        <f>IFERROR(IF('PVC Presión'!J241="",0,'PVC Presión'!J241),0)</f>
        <v>0</v>
      </c>
      <c r="I765" s="58" t="str">
        <f>IF(H765&gt;0, MAX(I$1:I764)+1, "")</f>
        <v/>
      </c>
    </row>
    <row r="766" spans="1:9" x14ac:dyDescent="0.2">
      <c r="A766" t="s">
        <v>26</v>
      </c>
      <c r="B766" t="str">
        <f>'PVC Presión'!A242</f>
        <v>Conducción Fluidos</v>
      </c>
      <c r="C766" t="str">
        <f>'PVC Presión'!B242</f>
        <v>PVC PRESION / HIDRÁULICO</v>
      </c>
      <c r="D766">
        <f>'PVC Presión'!F242</f>
        <v>351412</v>
      </c>
      <c r="E766" t="str">
        <f>'PVC Presión'!G242</f>
        <v>PVC PRE FT TAPA HI 3/4' I</v>
      </c>
      <c r="F766">
        <f>'PVC Presión'!H242</f>
        <v>25</v>
      </c>
      <c r="G766" t="str">
        <f>'PVC Presión'!I242</f>
        <v>Bolsa</v>
      </c>
      <c r="H766">
        <f>IFERROR(IF('PVC Presión'!J242="",0,'PVC Presión'!J242),0)</f>
        <v>0</v>
      </c>
      <c r="I766" s="58" t="str">
        <f>IF(H766&gt;0, MAX(I$1:I765)+1, "")</f>
        <v/>
      </c>
    </row>
    <row r="767" spans="1:9" x14ac:dyDescent="0.2">
      <c r="A767" t="s">
        <v>26</v>
      </c>
      <c r="B767" t="str">
        <f>'PVC Presión'!A243</f>
        <v>Conducción Fluidos</v>
      </c>
      <c r="C767" t="str">
        <f>'PVC Presión'!B243</f>
        <v>PVC PRESION / HIDRÁULICO</v>
      </c>
      <c r="D767">
        <f>'PVC Presión'!F243</f>
        <v>351413</v>
      </c>
      <c r="E767" t="str">
        <f>'PVC Presión'!G243</f>
        <v>PVC PRE FT TAPA HI 1' I</v>
      </c>
      <c r="F767">
        <f>'PVC Presión'!H243</f>
        <v>15</v>
      </c>
      <c r="G767" t="str">
        <f>'PVC Presión'!I243</f>
        <v>Bolsa</v>
      </c>
      <c r="H767">
        <f>IFERROR(IF('PVC Presión'!J243="",0,'PVC Presión'!J243),0)</f>
        <v>0</v>
      </c>
      <c r="I767" s="58" t="str">
        <f>IF(H767&gt;0, MAX(I$1:I766)+1, "")</f>
        <v/>
      </c>
    </row>
    <row r="768" spans="1:9" x14ac:dyDescent="0.2">
      <c r="A768" t="s">
        <v>1446</v>
      </c>
      <c r="B768" t="str">
        <f>'Inst. Baño y Cocina'!A3</f>
        <v>Conducción Fluidos</v>
      </c>
      <c r="C768" t="str">
        <f>'Inst. Baño y Cocina'!B3</f>
        <v>INSTALACIÓN BAÑO Y COCINA</v>
      </c>
      <c r="D768">
        <f>'Inst. Baño y Cocina'!F3</f>
        <v>344101</v>
      </c>
      <c r="E768" t="str">
        <f>'Inst. Baño y Cocina'!G3</f>
        <v>SIFON SALIDA CURVA 40MM E 1 1/2-1 1/4 I</v>
      </c>
      <c r="F768">
        <f>'Inst. Baño y Cocina'!H3</f>
        <v>10</v>
      </c>
      <c r="G768" t="str">
        <f>'Inst. Baño y Cocina'!I3</f>
        <v>Unitario</v>
      </c>
      <c r="H768">
        <f>IFERROR(IF('Inst. Baño y Cocina'!J3="",0,'Inst. Baño y Cocina'!J3),0)</f>
        <v>0</v>
      </c>
      <c r="I768" s="58" t="str">
        <f>IF(H768&gt;0, MAX(I$1:I767)+1, "")</f>
        <v/>
      </c>
    </row>
    <row r="769" spans="1:9" x14ac:dyDescent="0.2">
      <c r="A769" t="s">
        <v>1446</v>
      </c>
      <c r="B769" t="str">
        <f>'Inst. Baño y Cocina'!A4</f>
        <v>Conducción Fluidos</v>
      </c>
      <c r="C769" t="str">
        <f>'Inst. Baño y Cocina'!B4</f>
        <v>INSTALACIÓN BAÑO Y COCINA</v>
      </c>
      <c r="D769">
        <f>'Inst. Baño y Cocina'!F4</f>
        <v>344102</v>
      </c>
      <c r="E769" t="str">
        <f>'Inst. Baño y Cocina'!G4</f>
        <v>SIFON SALIDA RECTA 40MM E 1 1/2-1 1/4 I</v>
      </c>
      <c r="F769">
        <f>'Inst. Baño y Cocina'!H4</f>
        <v>10</v>
      </c>
      <c r="G769" t="str">
        <f>'Inst. Baño y Cocina'!I4</f>
        <v>Unitario</v>
      </c>
      <c r="H769">
        <f>IFERROR(IF('Inst. Baño y Cocina'!J4="",0,'Inst. Baño y Cocina'!J4),0)</f>
        <v>0</v>
      </c>
      <c r="I769" s="58" t="str">
        <f>IF(H769&gt;0, MAX(I$1:I768)+1, "")</f>
        <v/>
      </c>
    </row>
    <row r="770" spans="1:9" x14ac:dyDescent="0.2">
      <c r="A770" t="s">
        <v>1446</v>
      </c>
      <c r="B770" t="str">
        <f>'Inst. Baño y Cocina'!A5</f>
        <v>Conducción Fluidos</v>
      </c>
      <c r="C770" t="str">
        <f>'Inst. Baño y Cocina'!B5</f>
        <v>INSTALACIÓN BAÑO Y COCINA</v>
      </c>
      <c r="D770">
        <f>'Inst. Baño y Cocina'!F5</f>
        <v>344103</v>
      </c>
      <c r="E770" t="str">
        <f>'Inst. Baño y Cocina'!G5</f>
        <v>SIFON SALIDA CURVA  32MM E 1 1/4  I</v>
      </c>
      <c r="F770">
        <f>'Inst. Baño y Cocina'!H5</f>
        <v>6</v>
      </c>
      <c r="G770" t="str">
        <f>'Inst. Baño y Cocina'!I5</f>
        <v>Unitario</v>
      </c>
      <c r="H770">
        <f>IFERROR(IF('Inst. Baño y Cocina'!J5="",0,'Inst. Baño y Cocina'!J5),0)</f>
        <v>0</v>
      </c>
      <c r="I770" s="58" t="str">
        <f>IF(H770&gt;0, MAX(I$1:I769)+1, "")</f>
        <v/>
      </c>
    </row>
    <row r="771" spans="1:9" x14ac:dyDescent="0.2">
      <c r="A771" t="s">
        <v>1446</v>
      </c>
      <c r="B771" t="str">
        <f>'Inst. Baño y Cocina'!A6</f>
        <v>Conducción Fluidos</v>
      </c>
      <c r="C771" t="str">
        <f>'Inst. Baño y Cocina'!B6</f>
        <v>INSTALACIÓN BAÑO Y COCINA</v>
      </c>
      <c r="D771">
        <f>'Inst. Baño y Cocina'!F6</f>
        <v>344104</v>
      </c>
      <c r="E771" t="str">
        <f>'Inst. Baño y Cocina'!G6</f>
        <v>SIFON SALIDA RECTA 32MM E 1 1/4 I</v>
      </c>
      <c r="F771">
        <f>'Inst. Baño y Cocina'!H6</f>
        <v>6</v>
      </c>
      <c r="G771" t="str">
        <f>'Inst. Baño y Cocina'!I6</f>
        <v>Unitario</v>
      </c>
      <c r="H771">
        <f>IFERROR(IF('Inst. Baño y Cocina'!J6="",0,'Inst. Baño y Cocina'!J6),0)</f>
        <v>0</v>
      </c>
      <c r="I771" s="58" t="str">
        <f>IF(H771&gt;0, MAX(I$1:I770)+1, "")</f>
        <v/>
      </c>
    </row>
    <row r="772" spans="1:9" x14ac:dyDescent="0.2">
      <c r="A772" t="s">
        <v>1446</v>
      </c>
      <c r="B772" t="str">
        <f>'Inst. Baño y Cocina'!A7</f>
        <v>Conducción Fluidos</v>
      </c>
      <c r="C772" t="str">
        <f>'Inst. Baño y Cocina'!B7</f>
        <v>INSTALACIÓN BAÑO Y COCINA</v>
      </c>
      <c r="D772">
        <f>'Inst. Baño y Cocina'!F7</f>
        <v>344109</v>
      </c>
      <c r="E772" t="str">
        <f>'Inst. Baño y Cocina'!G7</f>
        <v>SIFON DOBLE S/40-50 E 1 1/2 I</v>
      </c>
      <c r="F772">
        <f>'Inst. Baño y Cocina'!H7</f>
        <v>8</v>
      </c>
      <c r="G772" t="str">
        <f>'Inst. Baño y Cocina'!I7</f>
        <v>Bolsa</v>
      </c>
      <c r="H772">
        <f>IFERROR(IF('Inst. Baño y Cocina'!J7="",0,'Inst. Baño y Cocina'!J7),0)</f>
        <v>0</v>
      </c>
      <c r="I772" s="58" t="str">
        <f>IF(H772&gt;0, MAX(I$1:I771)+1, "")</f>
        <v/>
      </c>
    </row>
    <row r="773" spans="1:9" x14ac:dyDescent="0.2">
      <c r="A773" t="s">
        <v>1446</v>
      </c>
      <c r="B773" t="str">
        <f>'Inst. Baño y Cocina'!A8</f>
        <v>Conducción Fluidos</v>
      </c>
      <c r="C773" t="str">
        <f>'Inst. Baño y Cocina'!B8</f>
        <v>INSTALACIÓN BAÑO Y COCINA</v>
      </c>
      <c r="D773">
        <f>'Inst. Baño y Cocina'!F8</f>
        <v>344112</v>
      </c>
      <c r="E773" t="str">
        <f>'Inst. Baño y Cocina'!G8</f>
        <v>SIFON CONEXIÓN DOBLE 1 1/2 I</v>
      </c>
      <c r="F773">
        <f>'Inst. Baño y Cocina'!H8</f>
        <v>10</v>
      </c>
      <c r="G773" t="str">
        <f>'Inst. Baño y Cocina'!I8</f>
        <v>Bolsa</v>
      </c>
      <c r="H773">
        <f>IFERROR(IF('Inst. Baño y Cocina'!J8="",0,'Inst. Baño y Cocina'!J8),0)</f>
        <v>0</v>
      </c>
      <c r="I773" s="58" t="str">
        <f>IF(H773&gt;0, MAX(I$1:I772)+1, "")</f>
        <v/>
      </c>
    </row>
    <row r="774" spans="1:9" x14ac:dyDescent="0.2">
      <c r="A774" t="s">
        <v>1446</v>
      </c>
      <c r="B774" t="str">
        <f>'Inst. Baño y Cocina'!A9</f>
        <v>Conducción Fluidos</v>
      </c>
      <c r="C774" t="str">
        <f>'Inst. Baño y Cocina'!B9</f>
        <v>INSTALACIÓN BAÑO Y COCINA</v>
      </c>
      <c r="D774">
        <f>'Inst. Baño y Cocina'!F9</f>
        <v>344117</v>
      </c>
      <c r="E774" t="str">
        <f>'Inst. Baño y Cocina'!G9</f>
        <v>TUBO FLEXIBLE ELONG  1 ½'-1 ¼'-1' I</v>
      </c>
      <c r="F774">
        <f>'Inst. Baño y Cocina'!H9</f>
        <v>10</v>
      </c>
      <c r="G774" t="str">
        <f>'Inst. Baño y Cocina'!I9</f>
        <v>Bolsa</v>
      </c>
      <c r="H774">
        <f>IFERROR(IF('Inst. Baño y Cocina'!J9="",0,'Inst. Baño y Cocina'!J9),0)</f>
        <v>0</v>
      </c>
      <c r="I774" s="58" t="str">
        <f>IF(H774&gt;0, MAX(I$1:I773)+1, "")</f>
        <v/>
      </c>
    </row>
    <row r="775" spans="1:9" x14ac:dyDescent="0.2">
      <c r="A775" t="s">
        <v>1446</v>
      </c>
      <c r="B775" t="str">
        <f>'Inst. Baño y Cocina'!A10</f>
        <v>Conducción Fluidos</v>
      </c>
      <c r="C775" t="str">
        <f>'Inst. Baño y Cocina'!B10</f>
        <v>INSTALACIÓN BAÑO Y COCINA</v>
      </c>
      <c r="D775">
        <f>'Inst. Baño y Cocina'!F10</f>
        <v>344901</v>
      </c>
      <c r="E775" t="str">
        <f>'Inst. Baño y Cocina'!G10</f>
        <v>CAPUCHON REDUCCION 40X32 PARA SIFON</v>
      </c>
      <c r="F775">
        <f>'Inst. Baño y Cocina'!H10</f>
        <v>10</v>
      </c>
      <c r="G775" t="str">
        <f>'Inst. Baño y Cocina'!I10</f>
        <v>Bolsa</v>
      </c>
      <c r="H775">
        <f>IFERROR(IF('Inst. Baño y Cocina'!J10="",0,'Inst. Baño y Cocina'!J10),0)</f>
        <v>0</v>
      </c>
      <c r="I775" s="58" t="str">
        <f>IF(H775&gt;0, MAX(I$1:I774)+1, "")</f>
        <v/>
      </c>
    </row>
    <row r="776" spans="1:9" x14ac:dyDescent="0.2">
      <c r="A776" t="s">
        <v>1446</v>
      </c>
      <c r="B776" t="str">
        <f>'Inst. Baño y Cocina'!A11</f>
        <v>Conducción Fluidos</v>
      </c>
      <c r="C776" t="str">
        <f>'Inst. Baño y Cocina'!B11</f>
        <v>INSTALACIÓN BAÑO Y COCINA</v>
      </c>
      <c r="D776">
        <f>'Inst. Baño y Cocina'!F11</f>
        <v>344900</v>
      </c>
      <c r="E776" t="str">
        <f>'Inst. Baño y Cocina'!G11</f>
        <v>CAPUCHON REDUCCION 50X40 PARA SIFON</v>
      </c>
      <c r="F776">
        <f>'Inst. Baño y Cocina'!H11</f>
        <v>10</v>
      </c>
      <c r="G776" t="str">
        <f>'Inst. Baño y Cocina'!I11</f>
        <v>Bolsa</v>
      </c>
      <c r="H776">
        <f>IFERROR(IF('Inst. Baño y Cocina'!J11="",0,'Inst. Baño y Cocina'!J11),0)</f>
        <v>0</v>
      </c>
      <c r="I776" s="58" t="str">
        <f>IF(H776&gt;0, MAX(I$1:I775)+1, "")</f>
        <v/>
      </c>
    </row>
    <row r="777" spans="1:9" x14ac:dyDescent="0.2">
      <c r="A777" t="s">
        <v>1446</v>
      </c>
      <c r="B777" t="str">
        <f>'Inst. Baño y Cocina'!A12</f>
        <v>Conducción Fluidos</v>
      </c>
      <c r="C777" t="str">
        <f>'Inst. Baño y Cocina'!B12</f>
        <v>INSTALACIÓN BAÑO Y COCINA</v>
      </c>
      <c r="D777">
        <f>'Inst. Baño y Cocina'!F12</f>
        <v>344113</v>
      </c>
      <c r="E777" t="str">
        <f>'Inst. Baño y Cocina'!G12</f>
        <v>DESAGÜE UTILITY 1 1/2 CON REBALSE I</v>
      </c>
      <c r="F777">
        <f>'Inst. Baño y Cocina'!H12</f>
        <v>5</v>
      </c>
      <c r="G777" t="str">
        <f>'Inst. Baño y Cocina'!I12</f>
        <v>Bolsa</v>
      </c>
      <c r="H777">
        <f>IFERROR(IF('Inst. Baño y Cocina'!J12="",0,'Inst. Baño y Cocina'!J12),0)</f>
        <v>0</v>
      </c>
      <c r="I777" s="58" t="str">
        <f>IF(H777&gt;0, MAX(I$1:I776)+1, "")</f>
        <v/>
      </c>
    </row>
    <row r="778" spans="1:9" x14ac:dyDescent="0.2">
      <c r="A778" t="s">
        <v>1446</v>
      </c>
      <c r="B778" t="str">
        <f>'Inst. Baño y Cocina'!A13</f>
        <v>Conducción Fluidos</v>
      </c>
      <c r="C778" t="str">
        <f>'Inst. Baño y Cocina'!B13</f>
        <v>INSTALACIÓN BAÑO Y COCINA</v>
      </c>
      <c r="D778">
        <f>'Inst. Baño y Cocina'!F13</f>
        <v>344114</v>
      </c>
      <c r="E778" t="str">
        <f>'Inst. Baño y Cocina'!G13</f>
        <v>DESAGÜE UTILITY 1 1/2 SIN REBALSE I</v>
      </c>
      <c r="F778">
        <f>'Inst. Baño y Cocina'!H13</f>
        <v>5</v>
      </c>
      <c r="G778" t="str">
        <f>'Inst. Baño y Cocina'!I13</f>
        <v>Bolsa</v>
      </c>
      <c r="H778">
        <f>IFERROR(IF('Inst. Baño y Cocina'!J13="",0,'Inst. Baño y Cocina'!J13),0)</f>
        <v>0</v>
      </c>
      <c r="I778" s="58" t="str">
        <f>IF(H778&gt;0, MAX(I$1:I777)+1, "")</f>
        <v/>
      </c>
    </row>
    <row r="779" spans="1:9" x14ac:dyDescent="0.2">
      <c r="A779" t="s">
        <v>1446</v>
      </c>
      <c r="B779" t="str">
        <f>'Inst. Baño y Cocina'!A14</f>
        <v>Conducción Fluidos</v>
      </c>
      <c r="C779" t="str">
        <f>'Inst. Baño y Cocina'!B14</f>
        <v>INSTALACIÓN BAÑO Y COCINA</v>
      </c>
      <c r="D779">
        <f>'Inst. Baño y Cocina'!F14</f>
        <v>344115</v>
      </c>
      <c r="E779" t="str">
        <f>'Inst. Baño y Cocina'!G14</f>
        <v>DESAGÜE LAVAPLATOS 11/2 C/REBAL-TAP-CAD</v>
      </c>
      <c r="F779">
        <f>'Inst. Baño y Cocina'!H14</f>
        <v>5</v>
      </c>
      <c r="G779" t="str">
        <f>'Inst. Baño y Cocina'!I14</f>
        <v>Bolsa</v>
      </c>
      <c r="H779">
        <f>IFERROR(IF('Inst. Baño y Cocina'!J14="",0,'Inst. Baño y Cocina'!J14),0)</f>
        <v>0</v>
      </c>
      <c r="I779" s="58" t="str">
        <f>IF(H779&gt;0, MAX(I$1:I778)+1, "")</f>
        <v/>
      </c>
    </row>
    <row r="780" spans="1:9" x14ac:dyDescent="0.2">
      <c r="A780" t="s">
        <v>1446</v>
      </c>
      <c r="B780" t="str">
        <f>'Inst. Baño y Cocina'!A15</f>
        <v>Conducción Fluidos</v>
      </c>
      <c r="C780" t="str">
        <f>'Inst. Baño y Cocina'!B15</f>
        <v>INSTALACIÓN BAÑO Y COCINA</v>
      </c>
      <c r="D780">
        <f>'Inst. Baño y Cocina'!F15</f>
        <v>344105</v>
      </c>
      <c r="E780" t="str">
        <f>'Inst. Baño y Cocina'!G15</f>
        <v>DESAGÜE S/COLA 1 1/4 I</v>
      </c>
      <c r="F780">
        <f>'Inst. Baño y Cocina'!H15</f>
        <v>10</v>
      </c>
      <c r="G780" t="str">
        <f>'Inst. Baño y Cocina'!I15</f>
        <v>Bolsa</v>
      </c>
      <c r="H780">
        <f>IFERROR(IF('Inst. Baño y Cocina'!J15="",0,'Inst. Baño y Cocina'!J15),0)</f>
        <v>0</v>
      </c>
      <c r="I780" s="58" t="str">
        <f>IF(H780&gt;0, MAX(I$1:I779)+1, "")</f>
        <v/>
      </c>
    </row>
    <row r="781" spans="1:9" x14ac:dyDescent="0.2">
      <c r="A781" t="s">
        <v>1446</v>
      </c>
      <c r="B781" t="str">
        <f>'Inst. Baño y Cocina'!A16</f>
        <v>Conducción Fluidos</v>
      </c>
      <c r="C781" t="str">
        <f>'Inst. Baño y Cocina'!B16</f>
        <v>INSTALACIÓN BAÑO Y COCINA</v>
      </c>
      <c r="D781">
        <f>'Inst. Baño y Cocina'!F16</f>
        <v>344106</v>
      </c>
      <c r="E781" t="str">
        <f>'Inst. Baño y Cocina'!G16</f>
        <v>DESAGÜE S/COLA 1 1/2 I</v>
      </c>
      <c r="F781">
        <f>'Inst. Baño y Cocina'!H16</f>
        <v>10</v>
      </c>
      <c r="G781" t="str">
        <f>'Inst. Baño y Cocina'!I16</f>
        <v>Bolsa</v>
      </c>
      <c r="H781">
        <f>IFERROR(IF('Inst. Baño y Cocina'!J16="",0,'Inst. Baño y Cocina'!J16),0)</f>
        <v>0</v>
      </c>
      <c r="I781" s="58" t="str">
        <f>IF(H781&gt;0, MAX(I$1:I780)+1, "")</f>
        <v/>
      </c>
    </row>
    <row r="782" spans="1:9" x14ac:dyDescent="0.2">
      <c r="A782" t="s">
        <v>1446</v>
      </c>
      <c r="B782" t="str">
        <f>'Inst. Baño y Cocina'!A17</f>
        <v>Conducción Fluidos</v>
      </c>
      <c r="C782" t="str">
        <f>'Inst. Baño y Cocina'!B17</f>
        <v>INSTALACIÓN BAÑO Y COCINA</v>
      </c>
      <c r="D782">
        <f>'Inst. Baño y Cocina'!F17</f>
        <v>344107</v>
      </c>
      <c r="E782" t="str">
        <f>'Inst. Baño y Cocina'!G17</f>
        <v>DESAGÜE C/COLA 1 1/4 I</v>
      </c>
      <c r="F782">
        <f>'Inst. Baño y Cocina'!H17</f>
        <v>10</v>
      </c>
      <c r="G782" t="str">
        <f>'Inst. Baño y Cocina'!I17</f>
        <v>Bolsa</v>
      </c>
      <c r="H782">
        <f>IFERROR(IF('Inst. Baño y Cocina'!J17="",0,'Inst. Baño y Cocina'!J17),0)</f>
        <v>0</v>
      </c>
      <c r="I782" s="58" t="str">
        <f>IF(H782&gt;0, MAX(I$1:I781)+1, "")</f>
        <v/>
      </c>
    </row>
    <row r="783" spans="1:9" x14ac:dyDescent="0.2">
      <c r="A783" t="s">
        <v>1446</v>
      </c>
      <c r="B783" t="str">
        <f>'Inst. Baño y Cocina'!A18</f>
        <v>Conducción Fluidos</v>
      </c>
      <c r="C783" t="str">
        <f>'Inst. Baño y Cocina'!B18</f>
        <v>INSTALACIÓN BAÑO Y COCINA</v>
      </c>
      <c r="D783">
        <f>'Inst. Baño y Cocina'!F18</f>
        <v>344108</v>
      </c>
      <c r="E783" t="str">
        <f>'Inst. Baño y Cocina'!G18</f>
        <v>DESAGÜE C/COLA 1 1/2 I</v>
      </c>
      <c r="F783">
        <f>'Inst. Baño y Cocina'!H18</f>
        <v>10</v>
      </c>
      <c r="G783" t="str">
        <f>'Inst. Baño y Cocina'!I18</f>
        <v>Bolsa</v>
      </c>
      <c r="H783">
        <f>IFERROR(IF('Inst. Baño y Cocina'!J18="",0,'Inst. Baño y Cocina'!J18),0)</f>
        <v>0</v>
      </c>
      <c r="I783" s="58" t="str">
        <f>IF(H783&gt;0, MAX(I$1:I782)+1, "")</f>
        <v/>
      </c>
    </row>
    <row r="784" spans="1:9" x14ac:dyDescent="0.2">
      <c r="A784" t="s">
        <v>1446</v>
      </c>
      <c r="B784" t="str">
        <f>'Inst. Baño y Cocina'!A19</f>
        <v>Conducción Fluidos</v>
      </c>
      <c r="C784" t="str">
        <f>'Inst. Baño y Cocina'!B19</f>
        <v>INSTALACIÓN BAÑO Y COCINA</v>
      </c>
      <c r="D784">
        <f>'Inst. Baño y Cocina'!F19</f>
        <v>41001</v>
      </c>
      <c r="E784" t="str">
        <f>'Inst. Baño y Cocina'!G19</f>
        <v>SELLO ANTIFUGAS WC I</v>
      </c>
      <c r="F784">
        <f>'Inst. Baño y Cocina'!H19</f>
        <v>6</v>
      </c>
      <c r="G784" t="str">
        <f>'Inst. Baño y Cocina'!I19</f>
        <v>Unitario</v>
      </c>
      <c r="H784">
        <f>IFERROR(IF('Inst. Baño y Cocina'!J19="",0,'Inst. Baño y Cocina'!J19),0)</f>
        <v>0</v>
      </c>
      <c r="I784" s="58" t="str">
        <f>IF(H784&gt;0, MAX(I$1:I783)+1, "")</f>
        <v/>
      </c>
    </row>
    <row r="785" spans="1:9" x14ac:dyDescent="0.2">
      <c r="A785" t="s">
        <v>1446</v>
      </c>
      <c r="B785" t="str">
        <f>'Inst. Baño y Cocina'!A20</f>
        <v>Conducción Fluidos</v>
      </c>
      <c r="C785" t="str">
        <f>'Inst. Baño y Cocina'!B20</f>
        <v>INSTALACIÓN BAÑO Y COCINA</v>
      </c>
      <c r="D785">
        <f>'Inst. Baño y Cocina'!F20</f>
        <v>41002</v>
      </c>
      <c r="E785" t="str">
        <f>'Inst. Baño y Cocina'!G20</f>
        <v>KIT INSTALACION WC I</v>
      </c>
      <c r="F785">
        <f>'Inst. Baño y Cocina'!H20</f>
        <v>10</v>
      </c>
      <c r="G785" t="str">
        <f>'Inst. Baño y Cocina'!I20</f>
        <v>Unitario</v>
      </c>
      <c r="H785">
        <f>IFERROR(IF('Inst. Baño y Cocina'!J20="",0,'Inst. Baño y Cocina'!J20),0)</f>
        <v>0</v>
      </c>
      <c r="I785" s="58" t="str">
        <f>IF(H785&gt;0, MAX(I$1:I784)+1, "")</f>
        <v/>
      </c>
    </row>
    <row r="786" spans="1:9" x14ac:dyDescent="0.2">
      <c r="A786" t="s">
        <v>1446</v>
      </c>
      <c r="B786" t="str">
        <f>'Inst. Baño y Cocina'!A21</f>
        <v>Conducción Fluidos</v>
      </c>
      <c r="C786" t="str">
        <f>'Inst. Baño y Cocina'!B21</f>
        <v>INSTALACIÓN BAÑO Y COCINA</v>
      </c>
      <c r="D786">
        <f>'Inst. Baño y Cocina'!F21</f>
        <v>41101</v>
      </c>
      <c r="E786" t="str">
        <f>'Inst. Baño y Cocina'!G21</f>
        <v>COMBO VIRTUAL INSTALACION WC</v>
      </c>
      <c r="F786">
        <f>'Inst. Baño y Cocina'!H21</f>
        <v>1</v>
      </c>
      <c r="G786" t="str">
        <f>'Inst. Baño y Cocina'!I21</f>
        <v>Bolsa</v>
      </c>
      <c r="H786">
        <f>IFERROR(IF('Inst. Baño y Cocina'!J21="",0,'Inst. Baño y Cocina'!J21),0)</f>
        <v>0</v>
      </c>
      <c r="I786" s="58" t="str">
        <f>IF(H786&gt;0, MAX(I$1:I785)+1, "")</f>
        <v/>
      </c>
    </row>
    <row r="787" spans="1:9" x14ac:dyDescent="0.2">
      <c r="A787" t="s">
        <v>1446</v>
      </c>
      <c r="B787" t="str">
        <f>'Inst. Baño y Cocina'!A22</f>
        <v>Conducción Fluidos</v>
      </c>
      <c r="C787" t="str">
        <f>'Inst. Baño y Cocina'!B22</f>
        <v>INSTALACIÓN BAÑO Y COCINA</v>
      </c>
      <c r="D787">
        <f>'Inst. Baño y Cocina'!F22</f>
        <v>41003</v>
      </c>
      <c r="E787" t="str">
        <f>'Inst. Baño y Cocina'!G22</f>
        <v>KIT LLAVE ANGULAR MAS FLEXIBLE I</v>
      </c>
      <c r="F787">
        <f>'Inst. Baño y Cocina'!H22</f>
        <v>10</v>
      </c>
      <c r="G787" t="str">
        <f>'Inst. Baño y Cocina'!I22</f>
        <v>Blister</v>
      </c>
      <c r="H787">
        <f>IFERROR(IF('Inst. Baño y Cocina'!J22="",0,'Inst. Baño y Cocina'!J22),0)</f>
        <v>0</v>
      </c>
      <c r="I787" s="58" t="str">
        <f>IF(H787&gt;0, MAX(I$1:I786)+1, "")</f>
        <v/>
      </c>
    </row>
    <row r="788" spans="1:9" x14ac:dyDescent="0.2">
      <c r="A788" t="s">
        <v>1446</v>
      </c>
      <c r="B788" t="str">
        <f>'Inst. Baño y Cocina'!A23</f>
        <v>Conducción Fluidos</v>
      </c>
      <c r="C788" t="str">
        <f>'Inst. Baño y Cocina'!B23</f>
        <v>INSTALACIÓN BAÑO Y COCINA</v>
      </c>
      <c r="D788">
        <f>'Inst. Baño y Cocina'!F23</f>
        <v>341100</v>
      </c>
      <c r="E788" t="str">
        <f>'Inst. Baño y Cocina'!G23</f>
        <v>SET PERNO ANCLAJE WC I</v>
      </c>
      <c r="F788">
        <f>'Inst. Baño y Cocina'!H23</f>
        <v>10</v>
      </c>
      <c r="G788" t="str">
        <f>'Inst. Baño y Cocina'!I23</f>
        <v>Blister</v>
      </c>
      <c r="H788">
        <f>IFERROR(IF('Inst. Baño y Cocina'!J23="",0,'Inst. Baño y Cocina'!J23),0)</f>
        <v>0</v>
      </c>
      <c r="I788" s="58" t="str">
        <f>IF(H788&gt;0, MAX(I$1:I787)+1, "")</f>
        <v/>
      </c>
    </row>
    <row r="789" spans="1:9" x14ac:dyDescent="0.2">
      <c r="A789" t="s">
        <v>1446</v>
      </c>
      <c r="B789" t="str">
        <f>'Inst. Baño y Cocina'!A24</f>
        <v>Conducción Fluidos</v>
      </c>
      <c r="C789" t="str">
        <f>'Inst. Baño y Cocina'!B24</f>
        <v>INSTALACIÓN BAÑO Y COCINA</v>
      </c>
      <c r="D789">
        <f>'Inst. Baño y Cocina'!F24</f>
        <v>41103</v>
      </c>
      <c r="E789" t="str">
        <f>'Inst. Baño y Cocina'!G24</f>
        <v>FLAPPER ESTANQUE C/CADENA</v>
      </c>
      <c r="F789">
        <f>'Inst. Baño y Cocina'!H24</f>
        <v>1</v>
      </c>
      <c r="G789" t="str">
        <f>'Inst. Baño y Cocina'!I24</f>
        <v>Bolsa</v>
      </c>
      <c r="H789">
        <f>IFERROR(IF('Inst. Baño y Cocina'!J24="",0,'Inst. Baño y Cocina'!J24),0)</f>
        <v>0</v>
      </c>
      <c r="I789" s="58" t="str">
        <f>IF(H789&gt;0, MAX(I$1:I788)+1, "")</f>
        <v/>
      </c>
    </row>
    <row r="790" spans="1:9" x14ac:dyDescent="0.2">
      <c r="A790" t="s">
        <v>1446</v>
      </c>
      <c r="B790" t="str">
        <f>'Inst. Baño y Cocina'!A25</f>
        <v>Conducción Fluidos</v>
      </c>
      <c r="C790" t="str">
        <f>'Inst. Baño y Cocina'!B25</f>
        <v>INSTALACIÓN BAÑO Y COCINA</v>
      </c>
      <c r="D790">
        <f>'Inst. Baño y Cocina'!F25</f>
        <v>344118</v>
      </c>
      <c r="E790" t="str">
        <f>'Inst. Baño y Cocina'!G25</f>
        <v>ADAPT RIGIDO WC EXENTRICO 110 I</v>
      </c>
      <c r="F790">
        <f>'Inst. Baño y Cocina'!H25</f>
        <v>4</v>
      </c>
      <c r="G790" t="str">
        <f>'Inst. Baño y Cocina'!I25</f>
        <v>Unitario</v>
      </c>
      <c r="H790">
        <f>IFERROR(IF('Inst. Baño y Cocina'!J25="",0,'Inst. Baño y Cocina'!J25),0)</f>
        <v>0</v>
      </c>
      <c r="I790" s="58" t="str">
        <f>IF(H790&gt;0, MAX(I$1:I789)+1, "")</f>
        <v/>
      </c>
    </row>
    <row r="791" spans="1:9" x14ac:dyDescent="0.2">
      <c r="A791" t="s">
        <v>1446</v>
      </c>
      <c r="B791" t="str">
        <f>'Inst. Baño y Cocina'!A26</f>
        <v>Conducción Fluidos</v>
      </c>
      <c r="C791" t="str">
        <f>'Inst. Baño y Cocina'!B26</f>
        <v>INSTALACIÓN BAÑO Y COCINA</v>
      </c>
      <c r="D791">
        <f>'Inst. Baño y Cocina'!F26</f>
        <v>344119</v>
      </c>
      <c r="E791" t="str">
        <f>'Inst. Baño y Cocina'!G26</f>
        <v>ADAPT RIGIDO WC CONCENTRICO 110 I</v>
      </c>
      <c r="F791">
        <f>'Inst. Baño y Cocina'!H26</f>
        <v>4</v>
      </c>
      <c r="G791" t="str">
        <f>'Inst. Baño y Cocina'!I26</f>
        <v>Unitario</v>
      </c>
      <c r="H791">
        <f>IFERROR(IF('Inst. Baño y Cocina'!J26="",0,'Inst. Baño y Cocina'!J26),0)</f>
        <v>0</v>
      </c>
      <c r="I791" s="58" t="str">
        <f>IF(H791&gt;0, MAX(I$1:I790)+1, "")</f>
        <v/>
      </c>
    </row>
    <row r="792" spans="1:9" x14ac:dyDescent="0.2">
      <c r="A792" t="s">
        <v>1446</v>
      </c>
      <c r="B792" t="str">
        <f>'Inst. Baño y Cocina'!A27</f>
        <v>Conducción Fluidos</v>
      </c>
      <c r="C792" t="str">
        <f>'Inst. Baño y Cocina'!B27</f>
        <v>INSTALACIÓN BAÑO Y COCINA</v>
      </c>
      <c r="D792">
        <f>'Inst. Baño y Cocina'!F27</f>
        <v>344201</v>
      </c>
      <c r="E792" t="str">
        <f>'Inst. Baño y Cocina'!G27</f>
        <v>DUCHA KIT CON FLEX 1,7MT I</v>
      </c>
      <c r="F792">
        <f>'Inst. Baño y Cocina'!H27</f>
        <v>8</v>
      </c>
      <c r="G792" t="str">
        <f>'Inst. Baño y Cocina'!I27</f>
        <v>Blister</v>
      </c>
      <c r="H792">
        <f>IFERROR(IF('Inst. Baño y Cocina'!J27="",0,'Inst. Baño y Cocina'!J27),0)</f>
        <v>0</v>
      </c>
      <c r="I792" s="58" t="str">
        <f>IF(H792&gt;0, MAX(I$1:I791)+1, "")</f>
        <v/>
      </c>
    </row>
    <row r="793" spans="1:9" x14ac:dyDescent="0.2">
      <c r="A793" t="s">
        <v>1446</v>
      </c>
      <c r="B793" t="str">
        <f>'Inst. Baño y Cocina'!A28</f>
        <v>Conducción Fluidos</v>
      </c>
      <c r="C793" t="str">
        <f>'Inst. Baño y Cocina'!B28</f>
        <v>INSTALACIÓN BAÑO Y COCINA</v>
      </c>
      <c r="D793">
        <f>'Inst. Baño y Cocina'!F28</f>
        <v>344203</v>
      </c>
      <c r="E793" t="str">
        <f>'Inst. Baño y Cocina'!G28</f>
        <v>DUCHA KIT CON FLEX 1,7MT TOP LINEA I</v>
      </c>
      <c r="F793">
        <f>'Inst. Baño y Cocina'!H28</f>
        <v>8</v>
      </c>
      <c r="G793" t="str">
        <f>'Inst. Baño y Cocina'!I28</f>
        <v>Blister</v>
      </c>
      <c r="H793">
        <f>IFERROR(IF('Inst. Baño y Cocina'!J28="",0,'Inst. Baño y Cocina'!J28),0)</f>
        <v>0</v>
      </c>
      <c r="I793" s="58" t="str">
        <f>IF(H793&gt;0, MAX(I$1:I792)+1, "")</f>
        <v/>
      </c>
    </row>
    <row r="794" spans="1:9" x14ac:dyDescent="0.2">
      <c r="A794" t="s">
        <v>1446</v>
      </c>
      <c r="B794" t="str">
        <f>'Inst. Baño y Cocina'!A29</f>
        <v>Conducción Fluidos</v>
      </c>
      <c r="C794" t="str">
        <f>'Inst. Baño y Cocina'!B29</f>
        <v>INSTALACIÓN BAÑO Y COCINA</v>
      </c>
      <c r="D794">
        <f>'Inst. Baño y Cocina'!F29</f>
        <v>344204</v>
      </c>
      <c r="E794" t="str">
        <f>'Inst. Baño y Cocina'!G29</f>
        <v>DUCHA FLEX 1,7 MT I</v>
      </c>
      <c r="F794">
        <f>'Inst. Baño y Cocina'!H29</f>
        <v>10</v>
      </c>
      <c r="G794" t="str">
        <f>'Inst. Baño y Cocina'!I29</f>
        <v>Blister</v>
      </c>
      <c r="H794">
        <f>IFERROR(IF('Inst. Baño y Cocina'!J29="",0,'Inst. Baño y Cocina'!J29),0)</f>
        <v>0</v>
      </c>
      <c r="I794" s="58" t="str">
        <f>IF(H794&gt;0, MAX(I$1:I793)+1, "")</f>
        <v/>
      </c>
    </row>
    <row r="795" spans="1:9" x14ac:dyDescent="0.2">
      <c r="A795" t="s">
        <v>1446</v>
      </c>
      <c r="B795" t="str">
        <f>'Inst. Baño y Cocina'!A30</f>
        <v>Conducción Fluidos</v>
      </c>
      <c r="C795" t="str">
        <f>'Inst. Baño y Cocina'!B30</f>
        <v>INSTALACIÓN BAÑO Y COCINA</v>
      </c>
      <c r="D795">
        <f>'Inst. Baño y Cocina'!F30</f>
        <v>344205</v>
      </c>
      <c r="E795" t="str">
        <f>'Inst. Baño y Cocina'!G30</f>
        <v>DUCHA FLEX 1,85 MT I</v>
      </c>
      <c r="F795">
        <f>'Inst. Baño y Cocina'!H30</f>
        <v>10</v>
      </c>
      <c r="G795" t="str">
        <f>'Inst. Baño y Cocina'!I30</f>
        <v>Blister</v>
      </c>
      <c r="H795">
        <f>IFERROR(IF('Inst. Baño y Cocina'!J30="",0,'Inst. Baño y Cocina'!J30),0)</f>
        <v>0</v>
      </c>
      <c r="I795" s="58" t="str">
        <f>IF(H795&gt;0, MAX(I$1:I794)+1, "")</f>
        <v/>
      </c>
    </row>
    <row r="796" spans="1:9" x14ac:dyDescent="0.2">
      <c r="A796" t="s">
        <v>1446</v>
      </c>
      <c r="B796" t="str">
        <f>'Inst. Baño y Cocina'!A31</f>
        <v>Conducción Fluidos</v>
      </c>
      <c r="C796" t="str">
        <f>'Inst. Baño y Cocina'!B31</f>
        <v>INSTALACIÓN BAÑO Y COCINA</v>
      </c>
      <c r="D796">
        <f>'Inst. Baño y Cocina'!F31</f>
        <v>344206</v>
      </c>
      <c r="E796" t="str">
        <f>'Inst. Baño y Cocina'!G31</f>
        <v>DUCHA  SOPORTE I</v>
      </c>
      <c r="F796">
        <f>'Inst. Baño y Cocina'!H31</f>
        <v>10</v>
      </c>
      <c r="G796" t="str">
        <f>'Inst. Baño y Cocina'!I31</f>
        <v>Blister</v>
      </c>
      <c r="H796">
        <f>IFERROR(IF('Inst. Baño y Cocina'!J31="",0,'Inst. Baño y Cocina'!J31),0)</f>
        <v>0</v>
      </c>
      <c r="I796" s="58" t="str">
        <f>IF(H796&gt;0, MAX(I$1:I795)+1, "")</f>
        <v/>
      </c>
    </row>
    <row r="797" spans="1:9" x14ac:dyDescent="0.2">
      <c r="A797" t="s">
        <v>1446</v>
      </c>
      <c r="B797" t="str">
        <f>'Inst. Baño y Cocina'!A32</f>
        <v>Conducción Fluidos</v>
      </c>
      <c r="C797" t="str">
        <f>'Inst. Baño y Cocina'!B32</f>
        <v>INSTALACIÓN BAÑO Y COCINA</v>
      </c>
      <c r="D797">
        <f>'Inst. Baño y Cocina'!F32</f>
        <v>44401</v>
      </c>
      <c r="E797" t="str">
        <f>'Inst. Baño y Cocina'!G32</f>
        <v>GRIFERIA MEZCLADORA LAVAP CROM ANTONELLA</v>
      </c>
      <c r="F797">
        <f>'Inst. Baño y Cocina'!H32</f>
        <v>1</v>
      </c>
      <c r="G797" t="str">
        <f>'Inst. Baño y Cocina'!I32</f>
        <v>Caja</v>
      </c>
      <c r="H797">
        <f>IFERROR(IF('Inst. Baño y Cocina'!J32="",0,'Inst. Baño y Cocina'!J32),0)</f>
        <v>0</v>
      </c>
      <c r="I797" s="58" t="str">
        <f>IF(H797&gt;0, MAX(I$1:I796)+1, "")</f>
        <v/>
      </c>
    </row>
    <row r="798" spans="1:9" x14ac:dyDescent="0.2">
      <c r="A798" t="s">
        <v>1446</v>
      </c>
      <c r="B798" t="str">
        <f>'Inst. Baño y Cocina'!A33</f>
        <v>Conducción Fluidos</v>
      </c>
      <c r="C798" t="str">
        <f>'Inst. Baño y Cocina'!B33</f>
        <v>INSTALACIÓN BAÑO Y COCINA</v>
      </c>
      <c r="D798">
        <f>'Inst. Baño y Cocina'!F33</f>
        <v>44402</v>
      </c>
      <c r="E798" t="str">
        <f>'Inst. Baño y Cocina'!G33</f>
        <v>GRIFERIA MONOMANDO LAVATORIO CROM MIRAGE</v>
      </c>
      <c r="F798">
        <f>'Inst. Baño y Cocina'!H33</f>
        <v>1</v>
      </c>
      <c r="G798" t="str">
        <f>'Inst. Baño y Cocina'!I33</f>
        <v>Caja</v>
      </c>
      <c r="H798">
        <f>IFERROR(IF('Inst. Baño y Cocina'!J33="",0,'Inst. Baño y Cocina'!J33),0)</f>
        <v>0</v>
      </c>
      <c r="I798" s="58" t="str">
        <f>IF(H798&gt;0, MAX(I$1:I797)+1, "")</f>
        <v/>
      </c>
    </row>
    <row r="799" spans="1:9" x14ac:dyDescent="0.2">
      <c r="A799" t="s">
        <v>1446</v>
      </c>
      <c r="B799" t="str">
        <f>'Inst. Baño y Cocina'!A34</f>
        <v>Conducción Fluidos</v>
      </c>
      <c r="C799" t="str">
        <f>'Inst. Baño y Cocina'!B34</f>
        <v>INSTALACIÓN BAÑO Y COCINA</v>
      </c>
      <c r="D799">
        <f>'Inst. Baño y Cocina'!F34</f>
        <v>44403</v>
      </c>
      <c r="E799" t="str">
        <f>'Inst. Baño y Cocina'!G34</f>
        <v>GRIFERIA MONOMANDO TINA-DUCHA CRO MIRAGE</v>
      </c>
      <c r="F799">
        <f>'Inst. Baño y Cocina'!H34</f>
        <v>1</v>
      </c>
      <c r="G799" t="str">
        <f>'Inst. Baño y Cocina'!I34</f>
        <v>Caja</v>
      </c>
      <c r="H799">
        <f>IFERROR(IF('Inst. Baño y Cocina'!J34="",0,'Inst. Baño y Cocina'!J34),0)</f>
        <v>0</v>
      </c>
      <c r="I799" s="58" t="str">
        <f>IF(H799&gt;0, MAX(I$1:I798)+1, "")</f>
        <v/>
      </c>
    </row>
    <row r="800" spans="1:9" x14ac:dyDescent="0.2">
      <c r="A800" t="s">
        <v>1446</v>
      </c>
      <c r="B800" t="str">
        <f>'Inst. Baño y Cocina'!A35</f>
        <v>Conducción Fluidos</v>
      </c>
      <c r="C800" t="str">
        <f>'Inst. Baño y Cocina'!B35</f>
        <v>INSTALACIÓN BAÑO Y COCINA</v>
      </c>
      <c r="D800">
        <f>'Inst. Baño y Cocina'!F35</f>
        <v>44404</v>
      </c>
      <c r="E800" t="str">
        <f>'Inst. Baño y Cocina'!G35</f>
        <v>GRIFERIA MONOMANDO LAVAPLATO CROM MIRAGE</v>
      </c>
      <c r="F800">
        <f>'Inst. Baño y Cocina'!H35</f>
        <v>1</v>
      </c>
      <c r="G800" t="str">
        <f>'Inst. Baño y Cocina'!I35</f>
        <v>Caja</v>
      </c>
      <c r="H800">
        <f>IFERROR(IF('Inst. Baño y Cocina'!J35="",0,'Inst. Baño y Cocina'!J35),0)</f>
        <v>0</v>
      </c>
      <c r="I800" s="58" t="str">
        <f>IF(H800&gt;0, MAX(I$1:I799)+1, "")</f>
        <v/>
      </c>
    </row>
    <row r="801" spans="1:9" x14ac:dyDescent="0.2">
      <c r="A801" t="s">
        <v>1446</v>
      </c>
      <c r="B801" t="str">
        <f>'Inst. Baño y Cocina'!A36</f>
        <v>Conducción Fluidos</v>
      </c>
      <c r="C801" t="str">
        <f>'Inst. Baño y Cocina'!B36</f>
        <v>INSTALACIÓN BAÑO Y COCINA</v>
      </c>
      <c r="D801">
        <f>'Inst. Baño y Cocina'!F36</f>
        <v>44407</v>
      </c>
      <c r="E801" t="str">
        <f>'Inst. Baño y Cocina'!G36</f>
        <v>GRIFERIA LLAVE BOLA LAVADERO 1/2' ZAMAK</v>
      </c>
      <c r="F801">
        <f>'Inst. Baño y Cocina'!H36</f>
        <v>1</v>
      </c>
      <c r="G801" t="str">
        <f>'Inst. Baño y Cocina'!I36</f>
        <v>Unitario</v>
      </c>
      <c r="H801">
        <f>IFERROR(IF('Inst. Baño y Cocina'!J36="",0,'Inst. Baño y Cocina'!J36),0)</f>
        <v>0</v>
      </c>
      <c r="I801" s="58" t="str">
        <f>IF(H801&gt;0, MAX(I$1:I800)+1, "")</f>
        <v/>
      </c>
    </row>
    <row r="802" spans="1:9" x14ac:dyDescent="0.2">
      <c r="A802" t="s">
        <v>1446</v>
      </c>
      <c r="B802" t="str">
        <f>'Inst. Baño y Cocina'!A37</f>
        <v>Conducción Fluidos</v>
      </c>
      <c r="C802" t="str">
        <f>'Inst. Baño y Cocina'!B37</f>
        <v>INSTALACIÓN BAÑO Y COCINA</v>
      </c>
      <c r="D802">
        <f>'Inst. Baño y Cocina'!F37</f>
        <v>44408</v>
      </c>
      <c r="E802" t="str">
        <f>'Inst. Baño y Cocina'!G37</f>
        <v>GRIFERIA LLAVE BOLA LAVADERO 3/4' ZAMAK</v>
      </c>
      <c r="F802">
        <f>'Inst. Baño y Cocina'!H37</f>
        <v>1</v>
      </c>
      <c r="G802" t="str">
        <f>'Inst. Baño y Cocina'!I37</f>
        <v>Unitario</v>
      </c>
      <c r="H802">
        <f>IFERROR(IF('Inst. Baño y Cocina'!J37="",0,'Inst. Baño y Cocina'!J37),0)</f>
        <v>0</v>
      </c>
      <c r="I802" s="58" t="str">
        <f>IF(H802&gt;0, MAX(I$1:I801)+1, "")</f>
        <v/>
      </c>
    </row>
    <row r="803" spans="1:9" x14ac:dyDescent="0.2">
      <c r="A803" t="s">
        <v>1446</v>
      </c>
      <c r="B803" t="str">
        <f>'Inst. Baño y Cocina'!A38</f>
        <v>Conducción Fluidos</v>
      </c>
      <c r="C803" t="str">
        <f>'Inst. Baño y Cocina'!B38</f>
        <v>INSTALACIÓN BAÑO Y COCINA</v>
      </c>
      <c r="D803">
        <f>'Inst. Baño y Cocina'!F38</f>
        <v>44409</v>
      </c>
      <c r="E803" t="str">
        <f>'Inst. Baño y Cocina'!G38</f>
        <v>GRIFERIA LLAVE BOLA LAVADERO 1' ZAMAK</v>
      </c>
      <c r="F803">
        <f>'Inst. Baño y Cocina'!H38</f>
        <v>1</v>
      </c>
      <c r="G803" t="str">
        <f>'Inst. Baño y Cocina'!I38</f>
        <v>Unitario</v>
      </c>
      <c r="H803">
        <f>IFERROR(IF('Inst. Baño y Cocina'!J38="",0,'Inst. Baño y Cocina'!J38),0)</f>
        <v>0</v>
      </c>
      <c r="I803" s="58" t="str">
        <f>IF(H803&gt;0, MAX(I$1:I802)+1, "")</f>
        <v/>
      </c>
    </row>
    <row r="804" spans="1:9" x14ac:dyDescent="0.2">
      <c r="A804" t="s">
        <v>1446</v>
      </c>
      <c r="B804" t="str">
        <f>'Inst. Baño y Cocina'!A39</f>
        <v>Conducción Fluidos</v>
      </c>
      <c r="C804" t="str">
        <f>'Inst. Baño y Cocina'!B39</f>
        <v>INSTALACIÓN BAÑO Y COCINA</v>
      </c>
      <c r="D804">
        <f>'Inst. Baño y Cocina'!F39</f>
        <v>40001</v>
      </c>
      <c r="E804" t="str">
        <f>'Inst. Baño y Cocina'!G39</f>
        <v>FLEXIBLE AGUA HI-HI 1/2 25CM</v>
      </c>
      <c r="F804">
        <f>'Inst. Baño y Cocina'!H39</f>
        <v>10</v>
      </c>
      <c r="G804" t="str">
        <f>'Inst. Baño y Cocina'!I39</f>
        <v>Bolsa</v>
      </c>
      <c r="H804">
        <f>IFERROR(IF('Inst. Baño y Cocina'!J39="",0,'Inst. Baño y Cocina'!J39),0)</f>
        <v>0</v>
      </c>
      <c r="I804" s="58" t="str">
        <f>IF(H804&gt;0, MAX(I$1:I803)+1, "")</f>
        <v/>
      </c>
    </row>
    <row r="805" spans="1:9" x14ac:dyDescent="0.2">
      <c r="A805" t="s">
        <v>1446</v>
      </c>
      <c r="B805" t="str">
        <f>'Inst. Baño y Cocina'!A40</f>
        <v>Conducción Fluidos</v>
      </c>
      <c r="C805" t="str">
        <f>'Inst. Baño y Cocina'!B40</f>
        <v>INSTALACIÓN BAÑO Y COCINA</v>
      </c>
      <c r="D805">
        <f>'Inst. Baño y Cocina'!F40</f>
        <v>40002</v>
      </c>
      <c r="E805" t="str">
        <f>'Inst. Baño y Cocina'!G40</f>
        <v>FLEXIBLE AGUA HI-HI 1/2 30CM</v>
      </c>
      <c r="F805">
        <f>'Inst. Baño y Cocina'!H40</f>
        <v>10</v>
      </c>
      <c r="G805" t="str">
        <f>'Inst. Baño y Cocina'!I40</f>
        <v>Bolsa</v>
      </c>
      <c r="H805">
        <f>IFERROR(IF('Inst. Baño y Cocina'!J40="",0,'Inst. Baño y Cocina'!J40),0)</f>
        <v>0</v>
      </c>
      <c r="I805" s="58" t="str">
        <f>IF(H805&gt;0, MAX(I$1:I804)+1, "")</f>
        <v/>
      </c>
    </row>
    <row r="806" spans="1:9" x14ac:dyDescent="0.2">
      <c r="A806" t="s">
        <v>1446</v>
      </c>
      <c r="B806" t="str">
        <f>'Inst. Baño y Cocina'!A41</f>
        <v>Conducción Fluidos</v>
      </c>
      <c r="C806" t="str">
        <f>'Inst. Baño y Cocina'!B41</f>
        <v>INSTALACIÓN BAÑO Y COCINA</v>
      </c>
      <c r="D806">
        <f>'Inst. Baño y Cocina'!F41</f>
        <v>40003</v>
      </c>
      <c r="E806" t="str">
        <f>'Inst. Baño y Cocina'!G41</f>
        <v>FLEXIBLE AGUA HI-HI 1/2 35CM</v>
      </c>
      <c r="F806">
        <f>'Inst. Baño y Cocina'!H41</f>
        <v>10</v>
      </c>
      <c r="G806" t="str">
        <f>'Inst. Baño y Cocina'!I41</f>
        <v>Bolsa</v>
      </c>
      <c r="H806">
        <f>IFERROR(IF('Inst. Baño y Cocina'!J41="",0,'Inst. Baño y Cocina'!J41),0)</f>
        <v>0</v>
      </c>
      <c r="I806" s="58" t="str">
        <f>IF(H806&gt;0, MAX(I$1:I805)+1, "")</f>
        <v/>
      </c>
    </row>
    <row r="807" spans="1:9" x14ac:dyDescent="0.2">
      <c r="A807" t="s">
        <v>1446</v>
      </c>
      <c r="B807" t="str">
        <f>'Inst. Baño y Cocina'!A42</f>
        <v>Conducción Fluidos</v>
      </c>
      <c r="C807" t="str">
        <f>'Inst. Baño y Cocina'!B42</f>
        <v>INSTALACIÓN BAÑO Y COCINA</v>
      </c>
      <c r="D807">
        <f>'Inst. Baño y Cocina'!F42</f>
        <v>40004</v>
      </c>
      <c r="E807" t="str">
        <f>'Inst. Baño y Cocina'!G42</f>
        <v>FLEXIBLE AGUA HI-HI 1/2 40CM</v>
      </c>
      <c r="F807">
        <f>'Inst. Baño y Cocina'!H42</f>
        <v>10</v>
      </c>
      <c r="G807" t="str">
        <f>'Inst. Baño y Cocina'!I42</f>
        <v>Bolsa</v>
      </c>
      <c r="H807">
        <f>IFERROR(IF('Inst. Baño y Cocina'!J42="",0,'Inst. Baño y Cocina'!J42),0)</f>
        <v>0</v>
      </c>
      <c r="I807" s="58" t="str">
        <f>IF(H807&gt;0, MAX(I$1:I806)+1, "")</f>
        <v/>
      </c>
    </row>
    <row r="808" spans="1:9" x14ac:dyDescent="0.2">
      <c r="A808" t="s">
        <v>1446</v>
      </c>
      <c r="B808" t="str">
        <f>'Inst. Baño y Cocina'!A43</f>
        <v>Conducción Fluidos</v>
      </c>
      <c r="C808" t="str">
        <f>'Inst. Baño y Cocina'!B43</f>
        <v>INSTALACIÓN BAÑO Y COCINA</v>
      </c>
      <c r="D808">
        <f>'Inst. Baño y Cocina'!F43</f>
        <v>40005</v>
      </c>
      <c r="E808" t="str">
        <f>'Inst. Baño y Cocina'!G43</f>
        <v>FLEXIBLE AGUA HI-HI 1/2 50CM</v>
      </c>
      <c r="F808">
        <f>'Inst. Baño y Cocina'!H43</f>
        <v>10</v>
      </c>
      <c r="G808" t="str">
        <f>'Inst. Baño y Cocina'!I43</f>
        <v>Bolsa</v>
      </c>
      <c r="H808">
        <f>IFERROR(IF('Inst. Baño y Cocina'!J43="",0,'Inst. Baño y Cocina'!J43),0)</f>
        <v>0</v>
      </c>
      <c r="I808" s="58" t="str">
        <f>IF(H808&gt;0, MAX(I$1:I807)+1, "")</f>
        <v/>
      </c>
    </row>
    <row r="809" spans="1:9" x14ac:dyDescent="0.2">
      <c r="A809" t="s">
        <v>1446</v>
      </c>
      <c r="B809" t="str">
        <f>'Inst. Baño y Cocina'!A44</f>
        <v>Conducción Fluidos</v>
      </c>
      <c r="C809" t="str">
        <f>'Inst. Baño y Cocina'!B44</f>
        <v>INSTALACIÓN BAÑO Y COCINA</v>
      </c>
      <c r="D809">
        <f>'Inst. Baño y Cocina'!F44</f>
        <v>40006</v>
      </c>
      <c r="E809" t="str">
        <f>'Inst. Baño y Cocina'!G44</f>
        <v>FLEXIBLE AGUA HE-HI 1/2 25CM</v>
      </c>
      <c r="F809">
        <f>'Inst. Baño y Cocina'!H44</f>
        <v>10</v>
      </c>
      <c r="G809" t="str">
        <f>'Inst. Baño y Cocina'!I44</f>
        <v>Bolsa</v>
      </c>
      <c r="H809">
        <f>IFERROR(IF('Inst. Baño y Cocina'!J44="",0,'Inst. Baño y Cocina'!J44),0)</f>
        <v>0</v>
      </c>
      <c r="I809" s="58" t="str">
        <f>IF(H809&gt;0, MAX(I$1:I808)+1, "")</f>
        <v/>
      </c>
    </row>
    <row r="810" spans="1:9" x14ac:dyDescent="0.2">
      <c r="A810" t="s">
        <v>1446</v>
      </c>
      <c r="B810" t="str">
        <f>'Inst. Baño y Cocina'!A45</f>
        <v>Conducción Fluidos</v>
      </c>
      <c r="C810" t="str">
        <f>'Inst. Baño y Cocina'!B45</f>
        <v>INSTALACIÓN BAÑO Y COCINA</v>
      </c>
      <c r="D810">
        <f>'Inst. Baño y Cocina'!F45</f>
        <v>40007</v>
      </c>
      <c r="E810" t="str">
        <f>'Inst. Baño y Cocina'!G45</f>
        <v>FLEXIBLE AGUA HE-HI 1/2 30CM</v>
      </c>
      <c r="F810">
        <f>'Inst. Baño y Cocina'!H45</f>
        <v>10</v>
      </c>
      <c r="G810" t="str">
        <f>'Inst. Baño y Cocina'!I45</f>
        <v>Bolsa</v>
      </c>
      <c r="H810">
        <f>IFERROR(IF('Inst. Baño y Cocina'!J45="",0,'Inst. Baño y Cocina'!J45),0)</f>
        <v>0</v>
      </c>
      <c r="I810" s="58" t="str">
        <f>IF(H810&gt;0, MAX(I$1:I809)+1, "")</f>
        <v/>
      </c>
    </row>
    <row r="811" spans="1:9" x14ac:dyDescent="0.2">
      <c r="A811" t="s">
        <v>1446</v>
      </c>
      <c r="B811" t="str">
        <f>'Inst. Baño y Cocina'!A46</f>
        <v>Conducción Fluidos</v>
      </c>
      <c r="C811" t="str">
        <f>'Inst. Baño y Cocina'!B46</f>
        <v>INSTALACIÓN BAÑO Y COCINA</v>
      </c>
      <c r="D811">
        <f>'Inst. Baño y Cocina'!F46</f>
        <v>40008</v>
      </c>
      <c r="E811" t="str">
        <f>'Inst. Baño y Cocina'!G46</f>
        <v>FLEXIBLE AGUA HE-HI 1/2 35CM</v>
      </c>
      <c r="F811">
        <f>'Inst. Baño y Cocina'!H46</f>
        <v>10</v>
      </c>
      <c r="G811" t="str">
        <f>'Inst. Baño y Cocina'!I46</f>
        <v>Bolsa</v>
      </c>
      <c r="H811">
        <f>IFERROR(IF('Inst. Baño y Cocina'!J46="",0,'Inst. Baño y Cocina'!J46),0)</f>
        <v>0</v>
      </c>
      <c r="I811" s="58" t="str">
        <f>IF(H811&gt;0, MAX(I$1:I810)+1, "")</f>
        <v/>
      </c>
    </row>
    <row r="812" spans="1:9" x14ac:dyDescent="0.2">
      <c r="A812" t="s">
        <v>1446</v>
      </c>
      <c r="B812" t="str">
        <f>'Inst. Baño y Cocina'!A47</f>
        <v>Conducción Fluidos</v>
      </c>
      <c r="C812" t="str">
        <f>'Inst. Baño y Cocina'!B47</f>
        <v>INSTALACIÓN BAÑO Y COCINA</v>
      </c>
      <c r="D812">
        <f>'Inst. Baño y Cocina'!F47</f>
        <v>40009</v>
      </c>
      <c r="E812" t="str">
        <f>'Inst. Baño y Cocina'!G47</f>
        <v>FLEXIBLE AGUA HE-HI 1/2 40CM</v>
      </c>
      <c r="F812">
        <f>'Inst. Baño y Cocina'!H47</f>
        <v>10</v>
      </c>
      <c r="G812" t="str">
        <f>'Inst. Baño y Cocina'!I47</f>
        <v>Bolsa</v>
      </c>
      <c r="H812">
        <f>IFERROR(IF('Inst. Baño y Cocina'!J47="",0,'Inst. Baño y Cocina'!J47),0)</f>
        <v>0</v>
      </c>
      <c r="I812" s="58" t="str">
        <f>IF(H812&gt;0, MAX(I$1:I811)+1, "")</f>
        <v/>
      </c>
    </row>
    <row r="813" spans="1:9" x14ac:dyDescent="0.2">
      <c r="A813" t="s">
        <v>1446</v>
      </c>
      <c r="B813" t="str">
        <f>'Inst. Baño y Cocina'!A48</f>
        <v>Conducción Fluidos</v>
      </c>
      <c r="C813" t="str">
        <f>'Inst. Baño y Cocina'!B48</f>
        <v>INSTALACIÓN BAÑO Y COCINA</v>
      </c>
      <c r="D813">
        <f>'Inst. Baño y Cocina'!F48</f>
        <v>40010</v>
      </c>
      <c r="E813" t="str">
        <f>'Inst. Baño y Cocina'!G48</f>
        <v>FLEXIBLE AGUA HE-HI 1/2 50CM</v>
      </c>
      <c r="F813">
        <f>'Inst. Baño y Cocina'!H48</f>
        <v>10</v>
      </c>
      <c r="G813" t="str">
        <f>'Inst. Baño y Cocina'!I48</f>
        <v>Bolsa</v>
      </c>
      <c r="H813">
        <f>IFERROR(IF('Inst. Baño y Cocina'!J48="",0,'Inst. Baño y Cocina'!J48),0)</f>
        <v>0</v>
      </c>
      <c r="I813" s="58" t="str">
        <f>IF(H813&gt;0, MAX(I$1:I812)+1, "")</f>
        <v/>
      </c>
    </row>
    <row r="814" spans="1:9" x14ac:dyDescent="0.2">
      <c r="A814" t="s">
        <v>1446</v>
      </c>
      <c r="B814" t="str">
        <f>'Inst. Baño y Cocina'!A49</f>
        <v>Conducción Fluidos</v>
      </c>
      <c r="C814" t="str">
        <f>'Inst. Baño y Cocina'!B49</f>
        <v>INSTALACIÓN BAÑO Y COCINA</v>
      </c>
      <c r="D814">
        <f>'Inst. Baño y Cocina'!F49</f>
        <v>40011</v>
      </c>
      <c r="E814" t="str">
        <f>'Inst. Baño y Cocina'!G49</f>
        <v>FLEXIBLE CALEFONT HI-HI 1/2 25CM</v>
      </c>
      <c r="F814">
        <f>'Inst. Baño y Cocina'!H49</f>
        <v>10</v>
      </c>
      <c r="G814" t="str">
        <f>'Inst. Baño y Cocina'!I49</f>
        <v>Bolsa</v>
      </c>
      <c r="H814">
        <f>IFERROR(IF('Inst. Baño y Cocina'!J49="",0,'Inst. Baño y Cocina'!J49),0)</f>
        <v>0</v>
      </c>
      <c r="I814" s="58" t="str">
        <f>IF(H814&gt;0, MAX(I$1:I813)+1, "")</f>
        <v/>
      </c>
    </row>
    <row r="815" spans="1:9" x14ac:dyDescent="0.2">
      <c r="A815" t="s">
        <v>1446</v>
      </c>
      <c r="B815" t="str">
        <f>'Inst. Baño y Cocina'!A50</f>
        <v>Conducción Fluidos</v>
      </c>
      <c r="C815" t="str">
        <f>'Inst. Baño y Cocina'!B50</f>
        <v>INSTALACIÓN BAÑO Y COCINA</v>
      </c>
      <c r="D815">
        <f>'Inst. Baño y Cocina'!F50</f>
        <v>40012</v>
      </c>
      <c r="E815" t="str">
        <f>'Inst. Baño y Cocina'!G50</f>
        <v>FLEXIBLE CALEFONT HI-HI 1/2 35CM</v>
      </c>
      <c r="F815">
        <f>'Inst. Baño y Cocina'!H50</f>
        <v>10</v>
      </c>
      <c r="G815" t="str">
        <f>'Inst. Baño y Cocina'!I50</f>
        <v>Bolsa</v>
      </c>
      <c r="H815">
        <f>IFERROR(IF('Inst. Baño y Cocina'!J50="",0,'Inst. Baño y Cocina'!J50),0)</f>
        <v>0</v>
      </c>
      <c r="I815" s="58" t="str">
        <f>IF(H815&gt;0, MAX(I$1:I814)+1, "")</f>
        <v/>
      </c>
    </row>
    <row r="816" spans="1:9" x14ac:dyDescent="0.2">
      <c r="A816" t="s">
        <v>1446</v>
      </c>
      <c r="B816" t="str">
        <f>'Inst. Baño y Cocina'!A51</f>
        <v>Conducción Fluidos</v>
      </c>
      <c r="C816" t="str">
        <f>'Inst. Baño y Cocina'!B51</f>
        <v>INSTALACIÓN BAÑO Y COCINA</v>
      </c>
      <c r="D816">
        <f>'Inst. Baño y Cocina'!F51</f>
        <v>40013</v>
      </c>
      <c r="E816" t="str">
        <f>'Inst. Baño y Cocina'!G51</f>
        <v>FLEXIBLE CALEFONT HE-HI 1/2 25CM</v>
      </c>
      <c r="F816">
        <f>'Inst. Baño y Cocina'!H51</f>
        <v>10</v>
      </c>
      <c r="G816" t="str">
        <f>'Inst. Baño y Cocina'!I51</f>
        <v>Bolsa</v>
      </c>
      <c r="H816">
        <f>IFERROR(IF('Inst. Baño y Cocina'!J51="",0,'Inst. Baño y Cocina'!J51),0)</f>
        <v>0</v>
      </c>
      <c r="I816" s="58" t="str">
        <f>IF(H816&gt;0, MAX(I$1:I815)+1, "")</f>
        <v/>
      </c>
    </row>
    <row r="817" spans="1:9" x14ac:dyDescent="0.2">
      <c r="A817" t="s">
        <v>1446</v>
      </c>
      <c r="B817" t="str">
        <f>'Inst. Baño y Cocina'!A52</f>
        <v>Conducción Fluidos</v>
      </c>
      <c r="C817" t="str">
        <f>'Inst. Baño y Cocina'!B52</f>
        <v>INSTALACIÓN BAÑO Y COCINA</v>
      </c>
      <c r="D817">
        <f>'Inst. Baño y Cocina'!F52</f>
        <v>40014</v>
      </c>
      <c r="E817" t="str">
        <f>'Inst. Baño y Cocina'!G52</f>
        <v>FLEXIBLE CALEFONT HE-HI 1/2 35CM</v>
      </c>
      <c r="F817">
        <f>'Inst. Baño y Cocina'!H52</f>
        <v>10</v>
      </c>
      <c r="G817" t="str">
        <f>'Inst. Baño y Cocina'!I52</f>
        <v>Bolsa</v>
      </c>
      <c r="H817">
        <f>IFERROR(IF('Inst. Baño y Cocina'!J52="",0,'Inst. Baño y Cocina'!J52),0)</f>
        <v>0</v>
      </c>
      <c r="I817" s="58" t="str">
        <f>IF(H817&gt;0, MAX(I$1:I816)+1, "")</f>
        <v/>
      </c>
    </row>
    <row r="818" spans="1:9" x14ac:dyDescent="0.2">
      <c r="A818" t="s">
        <v>1446</v>
      </c>
      <c r="B818" t="str">
        <f>'Inst. Baño y Cocina'!A53</f>
        <v>Conducción Fluidos</v>
      </c>
      <c r="C818" t="str">
        <f>'Inst. Baño y Cocina'!B53</f>
        <v>INSTALACIÓN BAÑO Y COCINA</v>
      </c>
      <c r="D818">
        <f>'Inst. Baño y Cocina'!F53</f>
        <v>40015</v>
      </c>
      <c r="E818" t="str">
        <f>'Inst. Baño y Cocina'!G53</f>
        <v>FLEXIBLE GAS IZQ 3/8 X 1/2 60CM</v>
      </c>
      <c r="F818">
        <f>'Inst. Baño y Cocina'!H53</f>
        <v>1</v>
      </c>
      <c r="G818" t="str">
        <f>'Inst. Baño y Cocina'!I53</f>
        <v>Unitario</v>
      </c>
      <c r="H818">
        <f>IFERROR(IF('Inst. Baño y Cocina'!J53="",0,'Inst. Baño y Cocina'!J53),0)</f>
        <v>0</v>
      </c>
      <c r="I818" s="58" t="str">
        <f>IF(H818&gt;0, MAX(I$1:I817)+1, "")</f>
        <v/>
      </c>
    </row>
    <row r="819" spans="1:9" x14ac:dyDescent="0.2">
      <c r="A819" t="s">
        <v>1446</v>
      </c>
      <c r="B819" t="str">
        <f>'Inst. Baño y Cocina'!A54</f>
        <v>Conducción Fluidos</v>
      </c>
      <c r="C819" t="str">
        <f>'Inst. Baño y Cocina'!B54</f>
        <v>INSTALACIÓN BAÑO Y COCINA</v>
      </c>
      <c r="D819">
        <f>'Inst. Baño y Cocina'!F54</f>
        <v>40016</v>
      </c>
      <c r="E819" t="str">
        <f>'Inst. Baño y Cocina'!G54</f>
        <v>FLEXIBLE GAS IZQ 3/8 X 1/2 100CM</v>
      </c>
      <c r="F819">
        <f>'Inst. Baño y Cocina'!H54</f>
        <v>1</v>
      </c>
      <c r="G819" t="str">
        <f>'Inst. Baño y Cocina'!I54</f>
        <v>Unitario</v>
      </c>
      <c r="H819">
        <f>IFERROR(IF('Inst. Baño y Cocina'!J54="",0,'Inst. Baño y Cocina'!J54),0)</f>
        <v>0</v>
      </c>
      <c r="I819" s="58" t="str">
        <f>IF(H819&gt;0, MAX(I$1:I818)+1, "")</f>
        <v/>
      </c>
    </row>
    <row r="820" spans="1:9" x14ac:dyDescent="0.2">
      <c r="A820" t="s">
        <v>1446</v>
      </c>
      <c r="B820" t="str">
        <f>'Inst. Baño y Cocina'!A55</f>
        <v>Conducción Fluidos</v>
      </c>
      <c r="C820" t="str">
        <f>'Inst. Baño y Cocina'!B55</f>
        <v>INSTALACIÓN BAÑO Y COCINA</v>
      </c>
      <c r="D820">
        <f>'Inst. Baño y Cocina'!F55</f>
        <v>40018</v>
      </c>
      <c r="E820" t="str">
        <f>'Inst. Baño y Cocina'!G55</f>
        <v>FLEXIBLE GAS HI-HI 1/2 100CM</v>
      </c>
      <c r="F820">
        <f>'Inst. Baño y Cocina'!H55</f>
        <v>1</v>
      </c>
      <c r="G820" t="str">
        <f>'Inst. Baño y Cocina'!I55</f>
        <v>Unitario</v>
      </c>
      <c r="H820">
        <f>IFERROR(IF('Inst. Baño y Cocina'!J55="",0,'Inst. Baño y Cocina'!J55),0)</f>
        <v>0</v>
      </c>
      <c r="I820" s="58" t="str">
        <f>IF(H820&gt;0, MAX(I$1:I819)+1, "")</f>
        <v/>
      </c>
    </row>
    <row r="821" spans="1:9" x14ac:dyDescent="0.2">
      <c r="A821" t="s">
        <v>1447</v>
      </c>
      <c r="B821" t="str">
        <f>'Canaletas Techo'!A3</f>
        <v>Conducción Fluidos</v>
      </c>
      <c r="C821" t="str">
        <f>'Canaletas Techo'!B3</f>
        <v>SOLUCIÓN CANALETAS PVC</v>
      </c>
      <c r="D821">
        <f>'Canaletas Techo'!F3</f>
        <v>12604</v>
      </c>
      <c r="E821" t="str">
        <f>'Canaletas Techo'!G3</f>
        <v>TUBO BAJADA CANALETA TECHO 3MT BLANCO N</v>
      </c>
      <c r="F821">
        <f>'Canaletas Techo'!H3</f>
        <v>1</v>
      </c>
      <c r="G821" t="str">
        <f>'Canaletas Techo'!I3</f>
        <v>Unitario</v>
      </c>
      <c r="H821">
        <f>IFERROR(IF('Canaletas Techo'!J3="",0,'Canaletas Techo'!J3),0)</f>
        <v>0</v>
      </c>
      <c r="I821" s="58" t="str">
        <f>IF(H821&gt;0, MAX(I$1:I820)+1, "")</f>
        <v/>
      </c>
    </row>
    <row r="822" spans="1:9" x14ac:dyDescent="0.2">
      <c r="A822" t="s">
        <v>1447</v>
      </c>
      <c r="B822" t="str">
        <f>'Canaletas Techo'!A4</f>
        <v>Conducción Fluidos</v>
      </c>
      <c r="C822" t="str">
        <f>'Canaletas Techo'!B4</f>
        <v>SOLUCIÓN CANALETAS PVC</v>
      </c>
      <c r="D822" t="str">
        <f>'Canaletas Techo'!F4</f>
        <v>12604M</v>
      </c>
      <c r="E822" t="str">
        <f>'Canaletas Techo'!G4</f>
        <v>TUBO BAJADA CANALETA TECHO 3MT MARRÓN N</v>
      </c>
      <c r="F822">
        <f>'Canaletas Techo'!H4</f>
        <v>1</v>
      </c>
      <c r="G822" t="str">
        <f>'Canaletas Techo'!I4</f>
        <v>Unitario</v>
      </c>
      <c r="H822">
        <f>IFERROR(IF('Canaletas Techo'!J4="",0,'Canaletas Techo'!J4),0)</f>
        <v>0</v>
      </c>
      <c r="I822" s="58" t="str">
        <f>IF(H822&gt;0, MAX(I$1:I821)+1, "")</f>
        <v/>
      </c>
    </row>
    <row r="823" spans="1:9" x14ac:dyDescent="0.2">
      <c r="A823" t="s">
        <v>1447</v>
      </c>
      <c r="B823" t="str">
        <f>'Canaletas Techo'!A5</f>
        <v>Conducción Fluidos</v>
      </c>
      <c r="C823" t="str">
        <f>'Canaletas Techo'!B5</f>
        <v>SOLUCIÓN CANALETAS PVC</v>
      </c>
      <c r="D823">
        <f>'Canaletas Techo'!F5</f>
        <v>12605</v>
      </c>
      <c r="E823" t="str">
        <f>'Canaletas Techo'!G5</f>
        <v>TUBO BAJADA CANALETA TECHO 5MT BLANCO N</v>
      </c>
      <c r="F823">
        <f>'Canaletas Techo'!H5</f>
        <v>1</v>
      </c>
      <c r="G823" t="str">
        <f>'Canaletas Techo'!I5</f>
        <v>Unitario</v>
      </c>
      <c r="H823">
        <f>IFERROR(IF('Canaletas Techo'!J5="",0,'Canaletas Techo'!J5),0)</f>
        <v>0</v>
      </c>
      <c r="I823" s="58" t="str">
        <f>IF(H823&gt;0, MAX(I$1:I822)+1, "")</f>
        <v/>
      </c>
    </row>
    <row r="824" spans="1:9" x14ac:dyDescent="0.2">
      <c r="A824" t="s">
        <v>1447</v>
      </c>
      <c r="B824" t="str">
        <f>'Canaletas Techo'!A6</f>
        <v>Conducción Fluidos</v>
      </c>
      <c r="C824" t="str">
        <f>'Canaletas Techo'!B6</f>
        <v>SOLUCIÓN CANALETAS PVC</v>
      </c>
      <c r="D824" t="str">
        <f>'Canaletas Techo'!F6</f>
        <v>12605M</v>
      </c>
      <c r="E824" t="str">
        <f>'Canaletas Techo'!G6</f>
        <v>TUBO BAJADA CANALETA TECHO 5MT MARRÓN N</v>
      </c>
      <c r="F824">
        <f>'Canaletas Techo'!H6</f>
        <v>1</v>
      </c>
      <c r="G824" t="str">
        <f>'Canaletas Techo'!I6</f>
        <v>Unitario</v>
      </c>
      <c r="H824">
        <f>IFERROR(IF('Canaletas Techo'!J6="",0,'Canaletas Techo'!J6),0)</f>
        <v>0</v>
      </c>
      <c r="I824" s="58" t="str">
        <f>IF(H824&gt;0, MAX(I$1:I823)+1, "")</f>
        <v/>
      </c>
    </row>
    <row r="825" spans="1:9" x14ac:dyDescent="0.2">
      <c r="A825" t="s">
        <v>1447</v>
      </c>
      <c r="B825" t="str">
        <f>'Canaletas Techo'!A7</f>
        <v>Conducción Fluidos</v>
      </c>
      <c r="C825" t="str">
        <f>'Canaletas Techo'!B7</f>
        <v>SOLUCIÓN CANALETAS PVC</v>
      </c>
      <c r="D825">
        <f>'Canaletas Techo'!F7</f>
        <v>346001</v>
      </c>
      <c r="E825" t="str">
        <f>'Canaletas Techo'!G7</f>
        <v>CANALETA TECHO PVC 4MT BLANCO I</v>
      </c>
      <c r="F825">
        <f>'Canaletas Techo'!H7</f>
        <v>10</v>
      </c>
      <c r="G825" t="str">
        <f>'Canaletas Techo'!I7</f>
        <v>Bolsa</v>
      </c>
      <c r="H825">
        <f>IFERROR(IF('Canaletas Techo'!J7="",0,'Canaletas Techo'!J7),0)</f>
        <v>0</v>
      </c>
      <c r="I825" s="58" t="str">
        <f>IF(H825&gt;0, MAX(I$1:I824)+1, "")</f>
        <v/>
      </c>
    </row>
    <row r="826" spans="1:9" x14ac:dyDescent="0.2">
      <c r="A826" t="s">
        <v>1447</v>
      </c>
      <c r="B826" t="str">
        <f>'Canaletas Techo'!A8</f>
        <v>Conducción Fluidos</v>
      </c>
      <c r="C826" t="str">
        <f>'Canaletas Techo'!B8</f>
        <v>SOLUCIÓN CANALETAS PVC</v>
      </c>
      <c r="D826" t="str">
        <f>'Canaletas Techo'!F8</f>
        <v>346001M</v>
      </c>
      <c r="E826" t="str">
        <f>'Canaletas Techo'!G8</f>
        <v>CANALETA TECHO PVC 4MT MARRON I</v>
      </c>
      <c r="F826">
        <f>'Canaletas Techo'!H8</f>
        <v>10</v>
      </c>
      <c r="G826" t="str">
        <f>'Canaletas Techo'!I8</f>
        <v>Bolsa</v>
      </c>
      <c r="H826">
        <f>IFERROR(IF('Canaletas Techo'!J8="",0,'Canaletas Techo'!J8),0)</f>
        <v>0</v>
      </c>
      <c r="I826" s="58" t="str">
        <f>IF(H826&gt;0, MAX(I$1:I825)+1, "")</f>
        <v/>
      </c>
    </row>
    <row r="827" spans="1:9" x14ac:dyDescent="0.2">
      <c r="A827" t="s">
        <v>1447</v>
      </c>
      <c r="B827" t="str">
        <f>'Canaletas Techo'!A9</f>
        <v>Conducción Fluidos</v>
      </c>
      <c r="C827" t="str">
        <f>'Canaletas Techo'!B9</f>
        <v>SOLUCIÓN CANALETAS PVC</v>
      </c>
      <c r="D827">
        <f>'Canaletas Techo'!F9</f>
        <v>346002</v>
      </c>
      <c r="E827" t="str">
        <f>'Canaletas Techo'!G9</f>
        <v>ACCESORIO BAJADA CANALETA TECHO BLANCO I</v>
      </c>
      <c r="F827">
        <f>'Canaletas Techo'!H9</f>
        <v>10</v>
      </c>
      <c r="G827" t="str">
        <f>'Canaletas Techo'!I9</f>
        <v>Unitario</v>
      </c>
      <c r="H827">
        <f>IFERROR(IF('Canaletas Techo'!J9="",0,'Canaletas Techo'!J9),0)</f>
        <v>0</v>
      </c>
      <c r="I827" s="58" t="str">
        <f>IF(H827&gt;0, MAX(I$1:I826)+1, "")</f>
        <v/>
      </c>
    </row>
    <row r="828" spans="1:9" x14ac:dyDescent="0.2">
      <c r="A828" t="s">
        <v>1447</v>
      </c>
      <c r="B828" t="str">
        <f>'Canaletas Techo'!A10</f>
        <v>Conducción Fluidos</v>
      </c>
      <c r="C828" t="str">
        <f>'Canaletas Techo'!B10</f>
        <v>SOLUCIÓN CANALETAS PVC</v>
      </c>
      <c r="D828" t="str">
        <f>'Canaletas Techo'!F10</f>
        <v>346002M</v>
      </c>
      <c r="E828" t="str">
        <f>'Canaletas Techo'!G10</f>
        <v>ACCESORIO BAJADA CANALETA TECHO MARRÓN I</v>
      </c>
      <c r="F828">
        <f>'Canaletas Techo'!H10</f>
        <v>10</v>
      </c>
      <c r="G828" t="str">
        <f>'Canaletas Techo'!I10</f>
        <v>Unitario</v>
      </c>
      <c r="H828">
        <f>IFERROR(IF('Canaletas Techo'!J10="",0,'Canaletas Techo'!J10),0)</f>
        <v>0</v>
      </c>
      <c r="I828" s="58" t="str">
        <f>IF(H828&gt;0, MAX(I$1:I827)+1, "")</f>
        <v/>
      </c>
    </row>
    <row r="829" spans="1:9" x14ac:dyDescent="0.2">
      <c r="A829" t="s">
        <v>1447</v>
      </c>
      <c r="B829" t="str">
        <f>'Canaletas Techo'!A11</f>
        <v>Conducción Fluidos</v>
      </c>
      <c r="C829" t="str">
        <f>'Canaletas Techo'!B11</f>
        <v>SOLUCIÓN CANALETAS PVC</v>
      </c>
      <c r="D829">
        <f>'Canaletas Techo'!F11</f>
        <v>346003</v>
      </c>
      <c r="E829" t="str">
        <f>'Canaletas Techo'!G11</f>
        <v>ACCESORIO UNION CANALETA TECHO BLANCO I</v>
      </c>
      <c r="F829">
        <f>'Canaletas Techo'!H11</f>
        <v>25</v>
      </c>
      <c r="G829" t="str">
        <f>'Canaletas Techo'!I11</f>
        <v>Unitario</v>
      </c>
      <c r="H829">
        <f>IFERROR(IF('Canaletas Techo'!J11="",0,'Canaletas Techo'!J11),0)</f>
        <v>0</v>
      </c>
      <c r="I829" s="58" t="str">
        <f>IF(H829&gt;0, MAX(I$1:I828)+1, "")</f>
        <v/>
      </c>
    </row>
    <row r="830" spans="1:9" x14ac:dyDescent="0.2">
      <c r="A830" t="s">
        <v>1447</v>
      </c>
      <c r="B830" t="str">
        <f>'Canaletas Techo'!A12</f>
        <v>Conducción Fluidos</v>
      </c>
      <c r="C830" t="str">
        <f>'Canaletas Techo'!B12</f>
        <v>SOLUCIÓN CANALETAS PVC</v>
      </c>
      <c r="D830" t="str">
        <f>'Canaletas Techo'!F12</f>
        <v>346003M</v>
      </c>
      <c r="E830" t="str">
        <f>'Canaletas Techo'!G12</f>
        <v>ACCESORIO UNION CANALETA TECHO MARRÓN I</v>
      </c>
      <c r="F830">
        <f>'Canaletas Techo'!H12</f>
        <v>25</v>
      </c>
      <c r="G830" t="str">
        <f>'Canaletas Techo'!I12</f>
        <v>Unitario</v>
      </c>
      <c r="H830">
        <f>IFERROR(IF('Canaletas Techo'!J12="",0,'Canaletas Techo'!J12),0)</f>
        <v>0</v>
      </c>
      <c r="I830" s="58" t="str">
        <f>IF(H830&gt;0, MAX(I$1:I829)+1, "")</f>
        <v/>
      </c>
    </row>
    <row r="831" spans="1:9" x14ac:dyDescent="0.2">
      <c r="A831" t="s">
        <v>1447</v>
      </c>
      <c r="B831" t="str">
        <f>'Canaletas Techo'!A13</f>
        <v>Conducción Fluidos</v>
      </c>
      <c r="C831" t="str">
        <f>'Canaletas Techo'!B13</f>
        <v>SOLUCIÓN CANALETAS PVC</v>
      </c>
      <c r="D831">
        <f>'Canaletas Techo'!F13</f>
        <v>346004</v>
      </c>
      <c r="E831" t="str">
        <f>'Canaletas Techo'!G13</f>
        <v>ESQUINERO EXTERIOR CANALETA TECHO BLANCO</v>
      </c>
      <c r="F831">
        <f>'Canaletas Techo'!H13</f>
        <v>17</v>
      </c>
      <c r="G831" t="str">
        <f>'Canaletas Techo'!I13</f>
        <v>Unitario</v>
      </c>
      <c r="H831">
        <f>IFERROR(IF('Canaletas Techo'!J13="",0,'Canaletas Techo'!J13),0)</f>
        <v>0</v>
      </c>
      <c r="I831" s="58" t="str">
        <f>IF(H831&gt;0, MAX(I$1:I830)+1, "")</f>
        <v/>
      </c>
    </row>
    <row r="832" spans="1:9" x14ac:dyDescent="0.2">
      <c r="A832" t="s">
        <v>1447</v>
      </c>
      <c r="B832" t="str">
        <f>'Canaletas Techo'!A14</f>
        <v>Conducción Fluidos</v>
      </c>
      <c r="C832" t="str">
        <f>'Canaletas Techo'!B14</f>
        <v>SOLUCIÓN CANALETAS PVC</v>
      </c>
      <c r="D832" t="str">
        <f>'Canaletas Techo'!F14</f>
        <v>346004M</v>
      </c>
      <c r="E832" t="str">
        <f>'Canaletas Techo'!G14</f>
        <v>ESQUINERO EXTERIOR CANALETA TECHO MARRÓN</v>
      </c>
      <c r="F832">
        <f>'Canaletas Techo'!H14</f>
        <v>17</v>
      </c>
      <c r="G832" t="str">
        <f>'Canaletas Techo'!I14</f>
        <v>Unitario</v>
      </c>
      <c r="H832">
        <f>IFERROR(IF('Canaletas Techo'!J14="",0,'Canaletas Techo'!J14),0)</f>
        <v>0</v>
      </c>
      <c r="I832" s="58" t="str">
        <f>IF(H832&gt;0, MAX(I$1:I831)+1, "")</f>
        <v/>
      </c>
    </row>
    <row r="833" spans="1:9" x14ac:dyDescent="0.2">
      <c r="A833" t="s">
        <v>1447</v>
      </c>
      <c r="B833" t="str">
        <f>'Canaletas Techo'!A15</f>
        <v>Conducción Fluidos</v>
      </c>
      <c r="C833" t="str">
        <f>'Canaletas Techo'!B15</f>
        <v>SOLUCIÓN CANALETAS PVC</v>
      </c>
      <c r="D833">
        <f>'Canaletas Techo'!F15</f>
        <v>346014</v>
      </c>
      <c r="E833" t="str">
        <f>'Canaletas Techo'!G15</f>
        <v>ESQUINERO INTERIOR CANALETA TECHO BLANCO</v>
      </c>
      <c r="F833">
        <f>'Canaletas Techo'!H15</f>
        <v>17</v>
      </c>
      <c r="G833" t="str">
        <f>'Canaletas Techo'!I15</f>
        <v>Unitario</v>
      </c>
      <c r="H833">
        <f>IFERROR(IF('Canaletas Techo'!J15="",0,'Canaletas Techo'!J15),0)</f>
        <v>0</v>
      </c>
      <c r="I833" s="58" t="str">
        <f>IF(H833&gt;0, MAX(I$1:I832)+1, "")</f>
        <v/>
      </c>
    </row>
    <row r="834" spans="1:9" x14ac:dyDescent="0.2">
      <c r="A834" t="s">
        <v>1447</v>
      </c>
      <c r="B834" t="str">
        <f>'Canaletas Techo'!A16</f>
        <v>Conducción Fluidos</v>
      </c>
      <c r="C834" t="str">
        <f>'Canaletas Techo'!B16</f>
        <v>SOLUCIÓN CANALETAS PVC</v>
      </c>
      <c r="D834" t="str">
        <f>'Canaletas Techo'!F16</f>
        <v>346014M</v>
      </c>
      <c r="E834" t="str">
        <f>'Canaletas Techo'!G16</f>
        <v>ESQUINERO INTERIOR CANALETA TECHO BLANCO</v>
      </c>
      <c r="F834">
        <f>'Canaletas Techo'!H16</f>
        <v>17</v>
      </c>
      <c r="G834" t="str">
        <f>'Canaletas Techo'!I16</f>
        <v>Unitario</v>
      </c>
      <c r="H834">
        <f>IFERROR(IF('Canaletas Techo'!J16="",0,'Canaletas Techo'!J16),0)</f>
        <v>0</v>
      </c>
      <c r="I834" s="58" t="str">
        <f>IF(H834&gt;0, MAX(I$1:I833)+1, "")</f>
        <v/>
      </c>
    </row>
    <row r="835" spans="1:9" x14ac:dyDescent="0.2">
      <c r="A835" t="s">
        <v>1447</v>
      </c>
      <c r="B835" t="str">
        <f>'Canaletas Techo'!A17</f>
        <v>Conducción Fluidos</v>
      </c>
      <c r="C835" t="str">
        <f>'Canaletas Techo'!B17</f>
        <v>SOLUCIÓN CANALETAS PVC</v>
      </c>
      <c r="D835">
        <f>'Canaletas Techo'!F17</f>
        <v>346021</v>
      </c>
      <c r="E835" t="str">
        <f>'Canaletas Techo'!G17</f>
        <v>TAPA UNIVERSAL ACCESORIO CANALETA BLANCO</v>
      </c>
      <c r="F835">
        <f>'Canaletas Techo'!H17</f>
        <v>10</v>
      </c>
      <c r="G835" t="str">
        <f>'Canaletas Techo'!I17</f>
        <v>Unitario</v>
      </c>
      <c r="H835">
        <f>IFERROR(IF('Canaletas Techo'!J17="",0,'Canaletas Techo'!J17),0)</f>
        <v>0</v>
      </c>
      <c r="I835" s="58" t="str">
        <f>IF(H835&gt;0, MAX(I$1:I834)+1, "")</f>
        <v/>
      </c>
    </row>
    <row r="836" spans="1:9" x14ac:dyDescent="0.2">
      <c r="A836" t="s">
        <v>1447</v>
      </c>
      <c r="B836" t="str">
        <f>'Canaletas Techo'!A18</f>
        <v>Conducción Fluidos</v>
      </c>
      <c r="C836" t="str">
        <f>'Canaletas Techo'!B18</f>
        <v>SOLUCIÓN CANALETAS PVC</v>
      </c>
      <c r="D836" t="str">
        <f>'Canaletas Techo'!F18</f>
        <v>346021M</v>
      </c>
      <c r="E836" t="str">
        <f>'Canaletas Techo'!G18</f>
        <v>TAPA UNIVERSAL ACCESORIO CANALETA MARRON</v>
      </c>
      <c r="F836">
        <f>'Canaletas Techo'!H18</f>
        <v>10</v>
      </c>
      <c r="G836" t="str">
        <f>'Canaletas Techo'!I18</f>
        <v>Unitario</v>
      </c>
      <c r="H836">
        <f>IFERROR(IF('Canaletas Techo'!J18="",0,'Canaletas Techo'!J18),0)</f>
        <v>0</v>
      </c>
      <c r="I836" s="58" t="str">
        <f>IF(H836&gt;0, MAX(I$1:I835)+1, "")</f>
        <v/>
      </c>
    </row>
    <row r="837" spans="1:9" x14ac:dyDescent="0.2">
      <c r="A837" t="s">
        <v>1447</v>
      </c>
      <c r="B837" t="str">
        <f>'Canaletas Techo'!A19</f>
        <v>Conducción Fluidos</v>
      </c>
      <c r="C837" t="str">
        <f>'Canaletas Techo'!B19</f>
        <v>SOLUCIÓN CANALETAS PVC</v>
      </c>
      <c r="D837">
        <f>'Canaletas Techo'!F19</f>
        <v>346005</v>
      </c>
      <c r="E837" t="str">
        <f>'Canaletas Techo'!G19</f>
        <v>TAPA ACCESORIO CANALETA DERECHA BLANCO I</v>
      </c>
      <c r="F837">
        <f>'Canaletas Techo'!H19</f>
        <v>10</v>
      </c>
      <c r="G837" t="str">
        <f>'Canaletas Techo'!I19</f>
        <v>Unitario</v>
      </c>
      <c r="H837">
        <f>IFERROR(IF('Canaletas Techo'!J19="",0,'Canaletas Techo'!J19),0)</f>
        <v>0</v>
      </c>
      <c r="I837" s="58" t="str">
        <f>IF(H837&gt;0, MAX(I$1:I836)+1, "")</f>
        <v/>
      </c>
    </row>
    <row r="838" spans="1:9" x14ac:dyDescent="0.2">
      <c r="A838" t="s">
        <v>1447</v>
      </c>
      <c r="B838" t="str">
        <f>'Canaletas Techo'!A20</f>
        <v>Conducción Fluidos</v>
      </c>
      <c r="C838" t="str">
        <f>'Canaletas Techo'!B20</f>
        <v>SOLUCIÓN CANALETAS PVC</v>
      </c>
      <c r="D838" t="str">
        <f>'Canaletas Techo'!F20</f>
        <v>346005M</v>
      </c>
      <c r="E838" t="str">
        <f>'Canaletas Techo'!G20</f>
        <v>TAPA ACCESORIO CANALETA DERECHA MARRÓN I</v>
      </c>
      <c r="F838">
        <f>'Canaletas Techo'!H20</f>
        <v>10</v>
      </c>
      <c r="G838" t="str">
        <f>'Canaletas Techo'!I20</f>
        <v>Unitario</v>
      </c>
      <c r="H838">
        <f>IFERROR(IF('Canaletas Techo'!J20="",0,'Canaletas Techo'!J20),0)</f>
        <v>0</v>
      </c>
      <c r="I838" s="58" t="str">
        <f>IF(H838&gt;0, MAX(I$1:I837)+1, "")</f>
        <v/>
      </c>
    </row>
    <row r="839" spans="1:9" x14ac:dyDescent="0.2">
      <c r="A839" t="s">
        <v>1447</v>
      </c>
      <c r="B839" t="str">
        <f>'Canaletas Techo'!A21</f>
        <v>Conducción Fluidos</v>
      </c>
      <c r="C839" t="str">
        <f>'Canaletas Techo'!B21</f>
        <v>SOLUCIÓN CANALETAS PVC</v>
      </c>
      <c r="D839">
        <f>'Canaletas Techo'!F21</f>
        <v>346006</v>
      </c>
      <c r="E839" t="str">
        <f>'Canaletas Techo'!G21</f>
        <v>TAPA ACCESORIO CANALETA IZQUIERDA BLANCO</v>
      </c>
      <c r="F839">
        <f>'Canaletas Techo'!H21</f>
        <v>10</v>
      </c>
      <c r="G839" t="str">
        <f>'Canaletas Techo'!I21</f>
        <v>Unitario</v>
      </c>
      <c r="H839">
        <f>IFERROR(IF('Canaletas Techo'!J21="",0,'Canaletas Techo'!J21),0)</f>
        <v>0</v>
      </c>
      <c r="I839" s="58" t="str">
        <f>IF(H839&gt;0, MAX(I$1:I838)+1, "")</f>
        <v/>
      </c>
    </row>
    <row r="840" spans="1:9" x14ac:dyDescent="0.2">
      <c r="A840" t="s">
        <v>1447</v>
      </c>
      <c r="B840" t="str">
        <f>'Canaletas Techo'!A22</f>
        <v>Conducción Fluidos</v>
      </c>
      <c r="C840" t="str">
        <f>'Canaletas Techo'!B22</f>
        <v>SOLUCIÓN CANALETAS PVC</v>
      </c>
      <c r="D840" t="str">
        <f>'Canaletas Techo'!F22</f>
        <v>346006M</v>
      </c>
      <c r="E840" t="str">
        <f>'Canaletas Techo'!G22</f>
        <v>TAPA ACCESORIO CANALETA IZQUIERDA MARRÓN</v>
      </c>
      <c r="F840">
        <f>'Canaletas Techo'!H22</f>
        <v>10</v>
      </c>
      <c r="G840" t="str">
        <f>'Canaletas Techo'!I22</f>
        <v>Unitario</v>
      </c>
      <c r="H840">
        <f>IFERROR(IF('Canaletas Techo'!J22="",0,'Canaletas Techo'!J22),0)</f>
        <v>0</v>
      </c>
      <c r="I840" s="58" t="str">
        <f>IF(H840&gt;0, MAX(I$1:I839)+1, "")</f>
        <v/>
      </c>
    </row>
    <row r="841" spans="1:9" x14ac:dyDescent="0.2">
      <c r="A841" t="s">
        <v>1447</v>
      </c>
      <c r="B841" t="str">
        <f>'Canaletas Techo'!A23</f>
        <v>Conducción Fluidos</v>
      </c>
      <c r="C841" t="str">
        <f>'Canaletas Techo'!B23</f>
        <v>SOLUCIÓN CANALETAS PVC</v>
      </c>
      <c r="D841">
        <f>'Canaletas Techo'!F23</f>
        <v>346015</v>
      </c>
      <c r="E841" t="str">
        <f>'Canaletas Techo'!G23</f>
        <v>TAPA UNIVERSAL CANALETA TECHO BLANCO I</v>
      </c>
      <c r="F841">
        <f>'Canaletas Techo'!H23</f>
        <v>10</v>
      </c>
      <c r="G841" t="str">
        <f>'Canaletas Techo'!I23</f>
        <v>Unitario</v>
      </c>
      <c r="H841">
        <f>IFERROR(IF('Canaletas Techo'!J23="",0,'Canaletas Techo'!J23),0)</f>
        <v>0</v>
      </c>
      <c r="I841" s="58" t="str">
        <f>IF(H841&gt;0, MAX(I$1:I840)+1, "")</f>
        <v/>
      </c>
    </row>
    <row r="842" spans="1:9" x14ac:dyDescent="0.2">
      <c r="A842" t="s">
        <v>1447</v>
      </c>
      <c r="B842" t="str">
        <f>'Canaletas Techo'!A24</f>
        <v>Conducción Fluidos</v>
      </c>
      <c r="C842" t="str">
        <f>'Canaletas Techo'!B24</f>
        <v>SOLUCIÓN CANALETAS PVC</v>
      </c>
      <c r="D842" t="str">
        <f>'Canaletas Techo'!F24</f>
        <v>346015M</v>
      </c>
      <c r="E842" t="str">
        <f>'Canaletas Techo'!G24</f>
        <v>TAPA UNIVERSAL CANALETA TECHO MARRÓN I</v>
      </c>
      <c r="F842">
        <f>'Canaletas Techo'!H24</f>
        <v>10</v>
      </c>
      <c r="G842" t="str">
        <f>'Canaletas Techo'!I24</f>
        <v>Unitario</v>
      </c>
      <c r="H842">
        <f>IFERROR(IF('Canaletas Techo'!J24="",0,'Canaletas Techo'!J24),0)</f>
        <v>0</v>
      </c>
      <c r="I842" s="58" t="str">
        <f>IF(H842&gt;0, MAX(I$1:I841)+1, "")</f>
        <v/>
      </c>
    </row>
    <row r="843" spans="1:9" x14ac:dyDescent="0.2">
      <c r="A843" t="s">
        <v>1447</v>
      </c>
      <c r="B843" t="str">
        <f>'Canaletas Techo'!A25</f>
        <v>Conducción Fluidos</v>
      </c>
      <c r="C843" t="str">
        <f>'Canaletas Techo'!B25</f>
        <v>SOLUCIÓN CANALETAS PVC</v>
      </c>
      <c r="D843">
        <f>'Canaletas Techo'!F25</f>
        <v>346007</v>
      </c>
      <c r="E843" t="str">
        <f>'Canaletas Techo'!G25</f>
        <v>GANCHO TRADICIONAL CANALETA TECHO BLANCO</v>
      </c>
      <c r="F843">
        <f>'Canaletas Techo'!H25</f>
        <v>50</v>
      </c>
      <c r="G843" t="str">
        <f>'Canaletas Techo'!I25</f>
        <v>Unitario</v>
      </c>
      <c r="H843">
        <f>IFERROR(IF('Canaletas Techo'!J25="",0,'Canaletas Techo'!J25),0)</f>
        <v>0</v>
      </c>
      <c r="I843" s="58" t="str">
        <f>IF(H843&gt;0, MAX(I$1:I842)+1, "")</f>
        <v/>
      </c>
    </row>
    <row r="844" spans="1:9" x14ac:dyDescent="0.2">
      <c r="A844" t="s">
        <v>1447</v>
      </c>
      <c r="B844" t="str">
        <f>'Canaletas Techo'!A26</f>
        <v>Conducción Fluidos</v>
      </c>
      <c r="C844" t="str">
        <f>'Canaletas Techo'!B26</f>
        <v>SOLUCIÓN CANALETAS PVC</v>
      </c>
      <c r="D844" t="str">
        <f>'Canaletas Techo'!F26</f>
        <v>346007M</v>
      </c>
      <c r="E844" t="str">
        <f>'Canaletas Techo'!G26</f>
        <v>GANCHO TRADICIONAL CANALETA TECHO MARRÓN</v>
      </c>
      <c r="F844">
        <f>'Canaletas Techo'!H26</f>
        <v>50</v>
      </c>
      <c r="G844" t="str">
        <f>'Canaletas Techo'!I26</f>
        <v>Unitario</v>
      </c>
      <c r="H844">
        <f>IFERROR(IF('Canaletas Techo'!J26="",0,'Canaletas Techo'!J26),0)</f>
        <v>0</v>
      </c>
      <c r="I844" s="58" t="str">
        <f>IF(H844&gt;0, MAX(I$1:I843)+1, "")</f>
        <v/>
      </c>
    </row>
    <row r="845" spans="1:9" x14ac:dyDescent="0.2">
      <c r="A845" t="s">
        <v>1447</v>
      </c>
      <c r="B845" t="str">
        <f>'Canaletas Techo'!A27</f>
        <v>Conducción Fluidos</v>
      </c>
      <c r="C845" t="str">
        <f>'Canaletas Techo'!B27</f>
        <v>SOLUCIÓN CANALETAS PVC</v>
      </c>
      <c r="D845">
        <f>'Canaletas Techo'!F27</f>
        <v>346012</v>
      </c>
      <c r="E845" t="str">
        <f>'Canaletas Techo'!G27</f>
        <v>GANCHO INVISIBLE CANALETA TECHO BLANCO I</v>
      </c>
      <c r="F845">
        <f>'Canaletas Techo'!H27</f>
        <v>20</v>
      </c>
      <c r="G845" t="str">
        <f>'Canaletas Techo'!I27</f>
        <v>Unitario</v>
      </c>
      <c r="H845">
        <f>IFERROR(IF('Canaletas Techo'!J27="",0,'Canaletas Techo'!J27),0)</f>
        <v>0</v>
      </c>
      <c r="I845" s="58" t="str">
        <f>IF(H845&gt;0, MAX(I$1:I844)+1, "")</f>
        <v/>
      </c>
    </row>
    <row r="846" spans="1:9" x14ac:dyDescent="0.2">
      <c r="A846" t="s">
        <v>1447</v>
      </c>
      <c r="B846" t="str">
        <f>'Canaletas Techo'!A28</f>
        <v>Conducción Fluidos</v>
      </c>
      <c r="C846" t="str">
        <f>'Canaletas Techo'!B28</f>
        <v>SOLUCIÓN CANALETAS PVC</v>
      </c>
      <c r="D846" t="str">
        <f>'Canaletas Techo'!F28</f>
        <v>346012M</v>
      </c>
      <c r="E846" t="str">
        <f>'Canaletas Techo'!G28</f>
        <v>GANCHO INVISIBLE CANALETA TECHO MARRÓN I</v>
      </c>
      <c r="F846">
        <f>'Canaletas Techo'!H28</f>
        <v>20</v>
      </c>
      <c r="G846" t="str">
        <f>'Canaletas Techo'!I28</f>
        <v>Unitario</v>
      </c>
      <c r="H846">
        <f>IFERROR(IF('Canaletas Techo'!J28="",0,'Canaletas Techo'!J28),0)</f>
        <v>0</v>
      </c>
      <c r="I846" s="58" t="str">
        <f>IF(H846&gt;0, MAX(I$1:I845)+1, "")</f>
        <v/>
      </c>
    </row>
    <row r="847" spans="1:9" x14ac:dyDescent="0.2">
      <c r="A847" t="s">
        <v>1447</v>
      </c>
      <c r="B847" t="str">
        <f>'Canaletas Techo'!A29</f>
        <v>Conducción Fluidos</v>
      </c>
      <c r="C847" t="str">
        <f>'Canaletas Techo'!B29</f>
        <v>SOLUCIÓN CANALETAS PVC</v>
      </c>
      <c r="D847">
        <f>'Canaletas Techo'!F29</f>
        <v>346008</v>
      </c>
      <c r="E847" t="str">
        <f>'Canaletas Techo'!G29</f>
        <v>CODO 45° H-H ACC CANALETA TECHO BLANCO I</v>
      </c>
      <c r="F847">
        <f>'Canaletas Techo'!H29</f>
        <v>5</v>
      </c>
      <c r="G847" t="str">
        <f>'Canaletas Techo'!I29</f>
        <v>Unitario</v>
      </c>
      <c r="H847">
        <f>IFERROR(IF('Canaletas Techo'!J29="",0,'Canaletas Techo'!J29),0)</f>
        <v>0</v>
      </c>
      <c r="I847" s="58" t="str">
        <f>IF(H847&gt;0, MAX(I$1:I846)+1, "")</f>
        <v/>
      </c>
    </row>
    <row r="848" spans="1:9" x14ac:dyDescent="0.2">
      <c r="A848" t="s">
        <v>1447</v>
      </c>
      <c r="B848" t="str">
        <f>'Canaletas Techo'!A30</f>
        <v>Conducción Fluidos</v>
      </c>
      <c r="C848" t="str">
        <f>'Canaletas Techo'!B30</f>
        <v>SOLUCIÓN CANALETAS PVC</v>
      </c>
      <c r="D848" t="str">
        <f>'Canaletas Techo'!F30</f>
        <v>346008M</v>
      </c>
      <c r="E848" t="str">
        <f>'Canaletas Techo'!G30</f>
        <v>CODO 45° H-H ACC CANALETA TECHO MARRÓN I</v>
      </c>
      <c r="F848">
        <f>'Canaletas Techo'!H30</f>
        <v>5</v>
      </c>
      <c r="G848" t="str">
        <f>'Canaletas Techo'!I30</f>
        <v>Unitario</v>
      </c>
      <c r="H848">
        <f>IFERROR(IF('Canaletas Techo'!J30="",0,'Canaletas Techo'!J30),0)</f>
        <v>0</v>
      </c>
      <c r="I848" s="58" t="str">
        <f>IF(H848&gt;0, MAX(I$1:I847)+1, "")</f>
        <v/>
      </c>
    </row>
    <row r="849" spans="1:9" x14ac:dyDescent="0.2">
      <c r="A849" t="s">
        <v>1447</v>
      </c>
      <c r="B849" t="str">
        <f>'Canaletas Techo'!A31</f>
        <v>Conducción Fluidos</v>
      </c>
      <c r="C849" t="str">
        <f>'Canaletas Techo'!B31</f>
        <v>SOLUCIÓN CANALETAS PVC</v>
      </c>
      <c r="D849">
        <f>'Canaletas Techo'!F31</f>
        <v>346009</v>
      </c>
      <c r="E849" t="str">
        <f>'Canaletas Techo'!G31</f>
        <v>CODO 90° H-H ACC CANALETA TECHO BLANCO I</v>
      </c>
      <c r="F849">
        <f>'Canaletas Techo'!H31</f>
        <v>10</v>
      </c>
      <c r="G849" t="str">
        <f>'Canaletas Techo'!I31</f>
        <v>Unitario</v>
      </c>
      <c r="H849">
        <f>IFERROR(IF('Canaletas Techo'!J31="",0,'Canaletas Techo'!J31),0)</f>
        <v>0</v>
      </c>
      <c r="I849" s="58" t="str">
        <f>IF(H849&gt;0, MAX(I$1:I848)+1, "")</f>
        <v/>
      </c>
    </row>
    <row r="850" spans="1:9" x14ac:dyDescent="0.2">
      <c r="A850" t="s">
        <v>1447</v>
      </c>
      <c r="B850" t="str">
        <f>'Canaletas Techo'!A32</f>
        <v>Conducción Fluidos</v>
      </c>
      <c r="C850" t="str">
        <f>'Canaletas Techo'!B32</f>
        <v>SOLUCIÓN CANALETAS PVC</v>
      </c>
      <c r="D850" t="str">
        <f>'Canaletas Techo'!F32</f>
        <v>346009M</v>
      </c>
      <c r="E850" t="str">
        <f>'Canaletas Techo'!G32</f>
        <v>CODO 90° H-H ACC CANALETA TECHO MARRÓN I</v>
      </c>
      <c r="F850">
        <f>'Canaletas Techo'!H32</f>
        <v>10</v>
      </c>
      <c r="G850" t="str">
        <f>'Canaletas Techo'!I32</f>
        <v>Unitario</v>
      </c>
      <c r="H850">
        <f>IFERROR(IF('Canaletas Techo'!J32="",0,'Canaletas Techo'!J32),0)</f>
        <v>0</v>
      </c>
      <c r="I850" s="58" t="str">
        <f>IF(H850&gt;0, MAX(I$1:I849)+1, "")</f>
        <v/>
      </c>
    </row>
    <row r="851" spans="1:9" x14ac:dyDescent="0.2">
      <c r="A851" t="s">
        <v>1447</v>
      </c>
      <c r="B851" t="str">
        <f>'Canaletas Techo'!A33</f>
        <v>Conducción Fluidos</v>
      </c>
      <c r="C851" t="str">
        <f>'Canaletas Techo'!B33</f>
        <v>SOLUCIÓN CANALETAS PVC</v>
      </c>
      <c r="D851">
        <f>'Canaletas Techo'!F33</f>
        <v>46019</v>
      </c>
      <c r="E851" t="str">
        <f>'Canaletas Techo'!G33</f>
        <v>CANAL TECHO ACC CODO 90° M-H BLANCO N</v>
      </c>
      <c r="F851">
        <f>'Canaletas Techo'!H33</f>
        <v>1</v>
      </c>
      <c r="G851" t="str">
        <f>'Canaletas Techo'!I33</f>
        <v>Unitario</v>
      </c>
      <c r="H851">
        <f>IFERROR(IF('Canaletas Techo'!J33="",0,'Canaletas Techo'!J33),0)</f>
        <v>0</v>
      </c>
      <c r="I851" s="58" t="str">
        <f>IF(H851&gt;0, MAX(I$1:I850)+1, "")</f>
        <v/>
      </c>
    </row>
    <row r="852" spans="1:9" x14ac:dyDescent="0.2">
      <c r="A852" t="s">
        <v>1447</v>
      </c>
      <c r="B852" t="str">
        <f>'Canaletas Techo'!A34</f>
        <v>Conducción Fluidos</v>
      </c>
      <c r="C852" t="str">
        <f>'Canaletas Techo'!B34</f>
        <v>SOLUCIÓN CANALETAS PVC</v>
      </c>
      <c r="D852" t="str">
        <f>'Canaletas Techo'!F34</f>
        <v>46019M</v>
      </c>
      <c r="E852" t="str">
        <f>'Canaletas Techo'!G34</f>
        <v>CANAL TECHO ACC CODO 90° M-H MARRON N</v>
      </c>
      <c r="F852">
        <f>'Canaletas Techo'!H34</f>
        <v>1</v>
      </c>
      <c r="G852" t="str">
        <f>'Canaletas Techo'!I34</f>
        <v>Unitario</v>
      </c>
      <c r="H852">
        <f>IFERROR(IF('Canaletas Techo'!J34="",0,'Canaletas Techo'!J34),0)</f>
        <v>0</v>
      </c>
      <c r="I852" s="58" t="str">
        <f>IF(H852&gt;0, MAX(I$1:I851)+1, "")</f>
        <v/>
      </c>
    </row>
    <row r="853" spans="1:9" x14ac:dyDescent="0.2">
      <c r="A853" t="s">
        <v>1447</v>
      </c>
      <c r="B853" t="str">
        <f>'Canaletas Techo'!A35</f>
        <v>Conducción Fluidos</v>
      </c>
      <c r="C853" t="str">
        <f>'Canaletas Techo'!B35</f>
        <v>SOLUCIÓN CANALETAS PVC</v>
      </c>
      <c r="D853">
        <f>'Canaletas Techo'!F35</f>
        <v>346010</v>
      </c>
      <c r="E853" t="str">
        <f>'Canaletas Techo'!G35</f>
        <v>COPLA BAJADA ACC CANALETA TECHO BLANCO I</v>
      </c>
      <c r="F853">
        <f>'Canaletas Techo'!H35</f>
        <v>10</v>
      </c>
      <c r="G853" t="str">
        <f>'Canaletas Techo'!I35</f>
        <v>Unitario</v>
      </c>
      <c r="H853">
        <f>IFERROR(IF('Canaletas Techo'!J35="",0,'Canaletas Techo'!J35),0)</f>
        <v>0</v>
      </c>
      <c r="I853" s="58" t="str">
        <f>IF(H853&gt;0, MAX(I$1:I852)+1, "")</f>
        <v/>
      </c>
    </row>
    <row r="854" spans="1:9" x14ac:dyDescent="0.2">
      <c r="A854" t="s">
        <v>1447</v>
      </c>
      <c r="B854" t="str">
        <f>'Canaletas Techo'!A36</f>
        <v>Conducción Fluidos</v>
      </c>
      <c r="C854" t="str">
        <f>'Canaletas Techo'!B36</f>
        <v>SOLUCIÓN CANALETAS PVC</v>
      </c>
      <c r="D854" t="str">
        <f>'Canaletas Techo'!F36</f>
        <v>346010M</v>
      </c>
      <c r="E854" t="str">
        <f>'Canaletas Techo'!G36</f>
        <v>COPLA BAJADA ACC CANALETA TECHO MARRÓN I</v>
      </c>
      <c r="F854">
        <f>'Canaletas Techo'!H36</f>
        <v>10</v>
      </c>
      <c r="G854" t="str">
        <f>'Canaletas Techo'!I36</f>
        <v>Unitario</v>
      </c>
      <c r="H854">
        <f>IFERROR(IF('Canaletas Techo'!J36="",0,'Canaletas Techo'!J36),0)</f>
        <v>0</v>
      </c>
      <c r="I854" s="58" t="str">
        <f>IF(H854&gt;0, MAX(I$1:I853)+1, "")</f>
        <v/>
      </c>
    </row>
    <row r="855" spans="1:9" x14ac:dyDescent="0.2">
      <c r="A855" t="s">
        <v>1447</v>
      </c>
      <c r="B855" t="str">
        <f>'Canaletas Techo'!A37</f>
        <v>Conducción Fluidos</v>
      </c>
      <c r="C855" t="str">
        <f>'Canaletas Techo'!B37</f>
        <v>SOLUCIÓN CANALETAS PVC</v>
      </c>
      <c r="D855">
        <f>'Canaletas Techo'!F37</f>
        <v>346011</v>
      </c>
      <c r="E855" t="str">
        <f>'Canaletas Techo'!G37</f>
        <v>ABRAZADERA TUBO BAJADA CAN. TECHO BLANCO</v>
      </c>
      <c r="F855">
        <f>'Canaletas Techo'!H37</f>
        <v>10</v>
      </c>
      <c r="G855" t="str">
        <f>'Canaletas Techo'!I37</f>
        <v>Unitario</v>
      </c>
      <c r="H855">
        <f>IFERROR(IF('Canaletas Techo'!J37="",0,'Canaletas Techo'!J37),0)</f>
        <v>0</v>
      </c>
      <c r="I855" s="58" t="str">
        <f>IF(H855&gt;0, MAX(I$1:I854)+1, "")</f>
        <v/>
      </c>
    </row>
    <row r="856" spans="1:9" x14ac:dyDescent="0.2">
      <c r="A856" t="s">
        <v>1447</v>
      </c>
      <c r="B856" t="str">
        <f>'Canaletas Techo'!A38</f>
        <v>Conducción Fluidos</v>
      </c>
      <c r="C856" t="str">
        <f>'Canaletas Techo'!B38</f>
        <v>SOLUCIÓN CANALETAS PVC</v>
      </c>
      <c r="D856" t="str">
        <f>'Canaletas Techo'!F38</f>
        <v>346011M</v>
      </c>
      <c r="E856" t="str">
        <f>'Canaletas Techo'!G38</f>
        <v>ABRAZADERA TUBO BAJADA CAN. TECHO MARRÓN</v>
      </c>
      <c r="F856">
        <f>'Canaletas Techo'!H38</f>
        <v>10</v>
      </c>
      <c r="G856" t="str">
        <f>'Canaletas Techo'!I38</f>
        <v>Unitario</v>
      </c>
      <c r="H856">
        <f>IFERROR(IF('Canaletas Techo'!J38="",0,'Canaletas Techo'!J38),0)</f>
        <v>0</v>
      </c>
      <c r="I856" s="58" t="str">
        <f>IF(H856&gt;0, MAX(I$1:I855)+1, "")</f>
        <v/>
      </c>
    </row>
    <row r="857" spans="1:9" x14ac:dyDescent="0.2">
      <c r="A857" t="s">
        <v>1447</v>
      </c>
      <c r="B857" t="str">
        <f>'Canaletas Techo'!A39</f>
        <v>Conducción Fluidos</v>
      </c>
      <c r="C857" t="str">
        <f>'Canaletas Techo'!B39</f>
        <v>SOLUCIÓN CANALETAS PVC</v>
      </c>
      <c r="D857">
        <f>'Canaletas Techo'!F39</f>
        <v>346013</v>
      </c>
      <c r="E857" t="str">
        <f>'Canaletas Techo'!G39</f>
        <v>CODO BAJADA ACC CANALETA TECHO BLANCO</v>
      </c>
      <c r="F857">
        <f>'Canaletas Techo'!H39</f>
        <v>10</v>
      </c>
      <c r="G857" t="str">
        <f>'Canaletas Techo'!I39</f>
        <v>Unitario</v>
      </c>
      <c r="H857">
        <f>IFERROR(IF('Canaletas Techo'!J39="",0,'Canaletas Techo'!J39),0)</f>
        <v>0</v>
      </c>
      <c r="I857" s="58" t="str">
        <f>IF(H857&gt;0, MAX(I$1:I856)+1, "")</f>
        <v/>
      </c>
    </row>
    <row r="858" spans="1:9" x14ac:dyDescent="0.2">
      <c r="A858" t="s">
        <v>1447</v>
      </c>
      <c r="B858" t="str">
        <f>'Canaletas Techo'!A40</f>
        <v>Conducción Fluidos</v>
      </c>
      <c r="C858" t="str">
        <f>'Canaletas Techo'!B40</f>
        <v>SOLUCIÓN CANALETAS PVC</v>
      </c>
      <c r="D858" t="str">
        <f>'Canaletas Techo'!F40</f>
        <v>346013M</v>
      </c>
      <c r="E858" t="str">
        <f>'Canaletas Techo'!G40</f>
        <v>CODO BAJADA ACC CANALETA TECHO MARRÓN</v>
      </c>
      <c r="F858">
        <f>'Canaletas Techo'!H40</f>
        <v>10</v>
      </c>
      <c r="G858" t="str">
        <f>'Canaletas Techo'!I40</f>
        <v>Unitario</v>
      </c>
      <c r="H858">
        <f>IFERROR(IF('Canaletas Techo'!J40="",0,'Canaletas Techo'!J40),0)</f>
        <v>0</v>
      </c>
      <c r="I858" s="58" t="str">
        <f>IF(H858&gt;0, MAX(I$1:I857)+1, "")</f>
        <v/>
      </c>
    </row>
    <row r="859" spans="1:9" x14ac:dyDescent="0.2">
      <c r="A859" t="s">
        <v>1447</v>
      </c>
      <c r="B859" t="str">
        <f>'Canaletas Techo'!A41</f>
        <v>Conducción Fluidos</v>
      </c>
      <c r="C859" t="str">
        <f>'Canaletas Techo'!B41</f>
        <v>SOLUCIÓN CANALETAS PVC</v>
      </c>
      <c r="D859">
        <f>'Canaletas Techo'!F41</f>
        <v>346017</v>
      </c>
      <c r="E859" t="str">
        <f>'Canaletas Techo'!G41</f>
        <v>BAJADA CONICA ACC CANALETA TECHO BLANCO</v>
      </c>
      <c r="F859">
        <f>'Canaletas Techo'!H41</f>
        <v>1</v>
      </c>
      <c r="G859" t="str">
        <f>'Canaletas Techo'!I41</f>
        <v>Unitario</v>
      </c>
      <c r="H859">
        <f>IFERROR(IF('Canaletas Techo'!J41="",0,'Canaletas Techo'!J41),0)</f>
        <v>0</v>
      </c>
      <c r="I859" s="58" t="str">
        <f>IF(H859&gt;0, MAX(I$1:I858)+1, "")</f>
        <v/>
      </c>
    </row>
    <row r="860" spans="1:9" x14ac:dyDescent="0.2">
      <c r="A860" t="s">
        <v>1447</v>
      </c>
      <c r="B860" t="str">
        <f>'Canaletas Techo'!A42</f>
        <v>Conducción Fluidos</v>
      </c>
      <c r="C860" t="str">
        <f>'Canaletas Techo'!B42</f>
        <v>SOLUCIÓN CANALETAS PVC</v>
      </c>
      <c r="D860">
        <f>'Canaletas Techo'!F42</f>
        <v>346020</v>
      </c>
      <c r="E860" t="str">
        <f>'Canaletas Techo'!G42</f>
        <v>ESQUINERO UNIVERSAL ACC CAN TECHO BLANCO</v>
      </c>
      <c r="F860">
        <f>'Canaletas Techo'!H42</f>
        <v>10</v>
      </c>
      <c r="G860" t="str">
        <f>'Canaletas Techo'!I42</f>
        <v>Unitario</v>
      </c>
      <c r="H860">
        <f>IFERROR(IF('Canaletas Techo'!J42="",0,'Canaletas Techo'!J42),0)</f>
        <v>0</v>
      </c>
      <c r="I860" s="58" t="str">
        <f>IF(H860&gt;0, MAX(I$1:I859)+1, "")</f>
        <v/>
      </c>
    </row>
    <row r="861" spans="1:9" x14ac:dyDescent="0.2">
      <c r="A861" t="s">
        <v>1447</v>
      </c>
      <c r="B861" t="str">
        <f>'Canaletas Techo'!A43</f>
        <v>Conducción Fluidos</v>
      </c>
      <c r="C861" t="str">
        <f>'Canaletas Techo'!B43</f>
        <v>SOLUCIÓN CANALETAS PVC</v>
      </c>
      <c r="D861" t="str">
        <f>'Canaletas Techo'!F43</f>
        <v>346020M</v>
      </c>
      <c r="E861" t="str">
        <f>'Canaletas Techo'!G43</f>
        <v>ESQUINERO UNIVERSAL ACC CAN TECHO MARRON</v>
      </c>
      <c r="F861">
        <f>'Canaletas Techo'!H43</f>
        <v>10</v>
      </c>
      <c r="G861" t="str">
        <f>'Canaletas Techo'!I43</f>
        <v>Unitario</v>
      </c>
      <c r="H861">
        <f>IFERROR(IF('Canaletas Techo'!J43="",0,'Canaletas Techo'!J43),0)</f>
        <v>0</v>
      </c>
      <c r="I861" s="58" t="str">
        <f>IF(H861&gt;0, MAX(I$1:I860)+1, "")</f>
        <v/>
      </c>
    </row>
    <row r="862" spans="1:9" x14ac:dyDescent="0.2">
      <c r="A862" t="s">
        <v>1447</v>
      </c>
      <c r="B862" t="str">
        <f>'Canaletas Techo'!A44</f>
        <v>Conducción Fluidos</v>
      </c>
      <c r="C862" t="str">
        <f>'Canaletas Techo'!B44</f>
        <v>SOLUCIÓN CANALETAS PVC</v>
      </c>
      <c r="D862">
        <f>'Canaletas Techo'!F44</f>
        <v>346022</v>
      </c>
      <c r="E862" t="str">
        <f>'Canaletas Techo'!G44</f>
        <v>DROPPER GUIA GOTAS CANALETA TECHO BLANCO</v>
      </c>
      <c r="F862">
        <f>'Canaletas Techo'!H44</f>
        <v>10</v>
      </c>
      <c r="G862" t="str">
        <f>'Canaletas Techo'!I44</f>
        <v>Unitario</v>
      </c>
      <c r="H862">
        <f>IFERROR(IF('Canaletas Techo'!J44="",0,'Canaletas Techo'!J44),0)</f>
        <v>0</v>
      </c>
      <c r="I862" s="58" t="str">
        <f>IF(H862&gt;0, MAX(I$1:I861)+1, "")</f>
        <v/>
      </c>
    </row>
    <row r="863" spans="1:9" x14ac:dyDescent="0.2">
      <c r="A863" t="s">
        <v>1447</v>
      </c>
      <c r="B863" t="str">
        <f>'Canaletas Techo'!A45</f>
        <v>Conducción Fluidos</v>
      </c>
      <c r="C863" t="str">
        <f>'Canaletas Techo'!B45</f>
        <v>SOLUCIÓN CANALETAS PVC</v>
      </c>
      <c r="D863" t="str">
        <f>'Canaletas Techo'!F45</f>
        <v>346022M</v>
      </c>
      <c r="E863" t="str">
        <f>'Canaletas Techo'!G45</f>
        <v>DROPPER GUIA GOTAS CANALETA TECHO MARRON</v>
      </c>
      <c r="F863">
        <f>'Canaletas Techo'!H45</f>
        <v>10</v>
      </c>
      <c r="G863" t="str">
        <f>'Canaletas Techo'!I45</f>
        <v>Unitario</v>
      </c>
      <c r="H863">
        <f>IFERROR(IF('Canaletas Techo'!J45="",0,'Canaletas Techo'!J45),0)</f>
        <v>0</v>
      </c>
      <c r="I863" s="58" t="str">
        <f>IF(H863&gt;0, MAX(I$1:I862)+1, "")</f>
        <v/>
      </c>
    </row>
    <row r="864" spans="1:9" x14ac:dyDescent="0.2">
      <c r="A864" t="s">
        <v>1447</v>
      </c>
      <c r="B864" t="str">
        <f>'Canaletas Techo'!A46</f>
        <v>Conducción Fluidos</v>
      </c>
      <c r="C864" t="str">
        <f>'Canaletas Techo'!B46</f>
        <v>SOLUCIÓN CANALETAS PVC</v>
      </c>
      <c r="D864">
        <f>'Canaletas Techo'!F46</f>
        <v>346016</v>
      </c>
      <c r="E864" t="str">
        <f>'Canaletas Techo'!G46</f>
        <v>GANCHO METALICO ACC. CANAL TECHO PLATEAD</v>
      </c>
      <c r="F864">
        <f>'Canaletas Techo'!H46</f>
        <v>10</v>
      </c>
      <c r="G864" t="str">
        <f>'Canaletas Techo'!I46</f>
        <v>Unitario</v>
      </c>
      <c r="H864">
        <f>IFERROR(IF('Canaletas Techo'!J46="",0,'Canaletas Techo'!J46),0)</f>
        <v>0</v>
      </c>
      <c r="I864" s="58" t="str">
        <f>IF(H864&gt;0, MAX(I$1:I863)+1, "")</f>
        <v/>
      </c>
    </row>
    <row r="865" spans="1:9" x14ac:dyDescent="0.2">
      <c r="A865" t="s">
        <v>29</v>
      </c>
      <c r="B865" t="str">
        <f>Riego!A3</f>
        <v>Conducción Fluidos</v>
      </c>
      <c r="C865" t="str">
        <f>Riego!B3</f>
        <v>RIEGO Y DISTRIBUCIÓN HIDRÁULICA</v>
      </c>
      <c r="D865">
        <f>Riego!F3</f>
        <v>15562</v>
      </c>
      <c r="E865" t="str">
        <f>Riego!G3</f>
        <v>TUBO PEBD PLANSA VIRG LISA 1/2' 1.0X50M</v>
      </c>
      <c r="F865">
        <f>Riego!H3</f>
        <v>1</v>
      </c>
      <c r="G865" t="str">
        <f>Riego!I3</f>
        <v>Unitario</v>
      </c>
      <c r="H865">
        <f>IFERROR(IF(Riego!K3="",0,Riego!K3),0)</f>
        <v>0</v>
      </c>
      <c r="I865" s="58" t="str">
        <f>IF(H865&gt;0, MAX(I$1:I864)+1, "")</f>
        <v/>
      </c>
    </row>
    <row r="866" spans="1:9" x14ac:dyDescent="0.2">
      <c r="A866" t="s">
        <v>29</v>
      </c>
      <c r="B866" t="str">
        <f>Riego!A4</f>
        <v>Conducción Fluidos</v>
      </c>
      <c r="C866" t="str">
        <f>Riego!B4</f>
        <v>RIEGO Y DISTRIBUCIÓN HIDRÁULICA</v>
      </c>
      <c r="D866">
        <f>Riego!F4</f>
        <v>15563</v>
      </c>
      <c r="E866" t="str">
        <f>Riego!G4</f>
        <v>TUBO PEBD PLANSA VIRG LISA 1/2' 1.0X100M</v>
      </c>
      <c r="F866">
        <f>Riego!H4</f>
        <v>1</v>
      </c>
      <c r="G866" t="str">
        <f>Riego!I4</f>
        <v>Unitario</v>
      </c>
      <c r="H866">
        <f>IFERROR(IF(Riego!K4="",0,Riego!K4),0)</f>
        <v>0</v>
      </c>
      <c r="I866" s="58" t="str">
        <f>IF(H866&gt;0, MAX(I$1:I865)+1, "")</f>
        <v/>
      </c>
    </row>
    <row r="867" spans="1:9" x14ac:dyDescent="0.2">
      <c r="A867" t="s">
        <v>29</v>
      </c>
      <c r="B867" t="str">
        <f>Riego!A5</f>
        <v>Conducción Fluidos</v>
      </c>
      <c r="C867" t="str">
        <f>Riego!B5</f>
        <v>RIEGO Y DISTRIBUCIÓN HIDRÁULICA</v>
      </c>
      <c r="D867">
        <f>Riego!F5</f>
        <v>15506</v>
      </c>
      <c r="E867" t="str">
        <f>Riego!G5</f>
        <v>TUBO PEBD PLANSA RECI LISA 3/4' 1.0X100M</v>
      </c>
      <c r="F867">
        <f>Riego!H5</f>
        <v>1</v>
      </c>
      <c r="G867" t="str">
        <f>Riego!I5</f>
        <v>Unitario</v>
      </c>
      <c r="H867">
        <f>IFERROR(IF(Riego!K5="",0,Riego!K5),0)</f>
        <v>0</v>
      </c>
      <c r="I867" s="58" t="str">
        <f>IF(H867&gt;0, MAX(I$1:I866)+1, "")</f>
        <v/>
      </c>
    </row>
    <row r="868" spans="1:9" x14ac:dyDescent="0.2">
      <c r="A868" t="s">
        <v>29</v>
      </c>
      <c r="B868" t="str">
        <f>Riego!A6</f>
        <v>Conducción Fluidos</v>
      </c>
      <c r="C868" t="str">
        <f>Riego!B6</f>
        <v>RIEGO Y DISTRIBUCIÓN HIDRÁULICA</v>
      </c>
      <c r="D868">
        <f>Riego!F6</f>
        <v>15509</v>
      </c>
      <c r="E868" t="str">
        <f>Riego!G6</f>
        <v>TUBO PEBD PLANSA RECI LISA 1' 1.0X100M</v>
      </c>
      <c r="F868">
        <f>Riego!H6</f>
        <v>1</v>
      </c>
      <c r="G868" t="str">
        <f>Riego!I6</f>
        <v>Unitario</v>
      </c>
      <c r="H868">
        <f>IFERROR(IF(Riego!K6="",0,Riego!K6),0)</f>
        <v>0</v>
      </c>
      <c r="I868" s="58" t="str">
        <f>IF(H868&gt;0, MAX(I$1:I867)+1, "")</f>
        <v/>
      </c>
    </row>
    <row r="869" spans="1:9" x14ac:dyDescent="0.2">
      <c r="A869" t="s">
        <v>29</v>
      </c>
      <c r="B869" t="str">
        <f>Riego!A7</f>
        <v>Conducción Fluidos</v>
      </c>
      <c r="C869" t="str">
        <f>Riego!B7</f>
        <v>RIEGO Y DISTRIBUCIÓN HIDRÁULICA</v>
      </c>
      <c r="D869">
        <f>Riego!F7</f>
        <v>15570</v>
      </c>
      <c r="E869" t="str">
        <f>Riego!G7</f>
        <v>PP VENTOSA DOBLE EFECTO 1 GTR PN 8</v>
      </c>
      <c r="F869">
        <f>Riego!H7</f>
        <v>1</v>
      </c>
      <c r="G869" t="str">
        <f>Riego!I7</f>
        <v>Unitario</v>
      </c>
      <c r="H869">
        <f>IFERROR(IF(Riego!K7="",0,Riego!K7),0)</f>
        <v>0</v>
      </c>
      <c r="I869" s="58" t="str">
        <f>IF(H869&gt;0, MAX(I$1:I868)+1, "")</f>
        <v/>
      </c>
    </row>
    <row r="870" spans="1:9" x14ac:dyDescent="0.2">
      <c r="A870" t="s">
        <v>29</v>
      </c>
      <c r="B870" t="str">
        <f>Riego!A8</f>
        <v>Conducción Fluidos</v>
      </c>
      <c r="C870" t="str">
        <f>Riego!B8</f>
        <v>RIEGO Y DISTRIBUCIÓN HIDRÁULICA</v>
      </c>
      <c r="D870">
        <f>Riego!F8</f>
        <v>15571</v>
      </c>
      <c r="E870" t="str">
        <f>Riego!G8</f>
        <v>PP VENTOSA DOBLE EFECTO 2 GTR PN 16</v>
      </c>
      <c r="F870">
        <f>Riego!H8</f>
        <v>1</v>
      </c>
      <c r="G870" t="str">
        <f>Riego!I8</f>
        <v>Unitario</v>
      </c>
      <c r="H870">
        <f>IFERROR(IF(Riego!K8="",0,Riego!K8),0)</f>
        <v>0</v>
      </c>
      <c r="I870" s="58" t="str">
        <f>IF(H870&gt;0, MAX(I$1:I869)+1, "")</f>
        <v/>
      </c>
    </row>
    <row r="871" spans="1:9" x14ac:dyDescent="0.2">
      <c r="A871" t="s">
        <v>29</v>
      </c>
      <c r="B871" t="str">
        <f>Riego!A9</f>
        <v>Conducción Fluidos</v>
      </c>
      <c r="C871" t="str">
        <f>Riego!B9</f>
        <v>RIEGO Y DISTRIBUCIÓN HIDRÁULICA</v>
      </c>
      <c r="D871">
        <f>Riego!F9</f>
        <v>15572</v>
      </c>
      <c r="E871" t="str">
        <f>Riego!G9</f>
        <v>PP FT PLANSA CONECTOR INICIAL 16 BILABIA</v>
      </c>
      <c r="F871">
        <f>Riego!H9</f>
        <v>100</v>
      </c>
      <c r="G871" t="str">
        <f>Riego!I9</f>
        <v>Bolsa</v>
      </c>
      <c r="H871">
        <f>IFERROR(IF(Riego!K9="",0,Riego!K9),0)</f>
        <v>0</v>
      </c>
      <c r="I871" s="58" t="str">
        <f>IF(H871&gt;0, MAX(I$1:I870)+1, "")</f>
        <v/>
      </c>
    </row>
    <row r="872" spans="1:9" x14ac:dyDescent="0.2">
      <c r="A872" t="s">
        <v>29</v>
      </c>
      <c r="B872" t="str">
        <f>Riego!A10</f>
        <v>Conducción Fluidos</v>
      </c>
      <c r="C872" t="str">
        <f>Riego!B10</f>
        <v>RIEGO Y DISTRIBUCIÓN HIDRÁULICA</v>
      </c>
      <c r="D872">
        <f>Riego!F10</f>
        <v>15573</v>
      </c>
      <c r="E872" t="str">
        <f>Riego!G10</f>
        <v>PP FT PLANSA GOMA CONECTOR INICIAL 16</v>
      </c>
      <c r="F872">
        <f>Riego!H10</f>
        <v>100</v>
      </c>
      <c r="G872" t="str">
        <f>Riego!I10</f>
        <v>Bolsa</v>
      </c>
      <c r="H872">
        <f>IFERROR(IF(Riego!K10="",0,Riego!K10),0)</f>
        <v>0</v>
      </c>
      <c r="I872" s="58" t="str">
        <f>IF(H872&gt;0, MAX(I$1:I871)+1, "")</f>
        <v/>
      </c>
    </row>
    <row r="873" spans="1:9" x14ac:dyDescent="0.2">
      <c r="A873" t="s">
        <v>29</v>
      </c>
      <c r="B873" t="str">
        <f>Riego!A11</f>
        <v>Conducción Fluidos</v>
      </c>
      <c r="C873" t="str">
        <f>Riego!B11</f>
        <v>RIEGO Y DISTRIBUCIÓN HIDRÁULICA</v>
      </c>
      <c r="D873">
        <f>Riego!F11</f>
        <v>15574</v>
      </c>
      <c r="E873" t="str">
        <f>Riego!G11</f>
        <v>PP FT PLANSA COPLA 16</v>
      </c>
      <c r="F873">
        <f>Riego!H11</f>
        <v>100</v>
      </c>
      <c r="G873" t="str">
        <f>Riego!I11</f>
        <v>Bolsa</v>
      </c>
      <c r="H873">
        <f>IFERROR(IF(Riego!K11="",0,Riego!K11),0)</f>
        <v>0</v>
      </c>
      <c r="I873" s="58" t="str">
        <f>IF(H873&gt;0, MAX(I$1:I872)+1, "")</f>
        <v/>
      </c>
    </row>
    <row r="874" spans="1:9" x14ac:dyDescent="0.2">
      <c r="A874" t="s">
        <v>29</v>
      </c>
      <c r="B874" t="str">
        <f>Riego!A12</f>
        <v>Conducción Fluidos</v>
      </c>
      <c r="C874" t="str">
        <f>Riego!B12</f>
        <v>RIEGO Y DISTRIBUCIÓN HIDRÁULICA</v>
      </c>
      <c r="D874">
        <f>Riego!F12</f>
        <v>15575</v>
      </c>
      <c r="E874" t="str">
        <f>Riego!G12</f>
        <v>PP FT PLANSA TEE 16</v>
      </c>
      <c r="F874">
        <f>Riego!H12</f>
        <v>50</v>
      </c>
      <c r="G874" t="str">
        <f>Riego!I12</f>
        <v>Bolsa</v>
      </c>
      <c r="H874">
        <f>IFERROR(IF(Riego!K12="",0,Riego!K12),0)</f>
        <v>0</v>
      </c>
      <c r="I874" s="58" t="str">
        <f>IF(H874&gt;0, MAX(I$1:I873)+1, "")</f>
        <v/>
      </c>
    </row>
    <row r="875" spans="1:9" x14ac:dyDescent="0.2">
      <c r="A875" t="s">
        <v>29</v>
      </c>
      <c r="B875" t="str">
        <f>Riego!A13</f>
        <v>Conducción Fluidos</v>
      </c>
      <c r="C875" t="str">
        <f>Riego!B13</f>
        <v>RIEGO Y DISTRIBUCIÓN HIDRÁULICA</v>
      </c>
      <c r="D875">
        <f>Riego!F13</f>
        <v>15576</v>
      </c>
      <c r="E875" t="str">
        <f>Riego!G13</f>
        <v>PP FT PLANSA CODO  16</v>
      </c>
      <c r="F875">
        <f>Riego!H13</f>
        <v>100</v>
      </c>
      <c r="G875" t="str">
        <f>Riego!I13</f>
        <v>Bolsa</v>
      </c>
      <c r="H875">
        <f>IFERROR(IF(Riego!K13="",0,Riego!K13),0)</f>
        <v>0</v>
      </c>
      <c r="I875" s="58" t="str">
        <f>IF(H875&gt;0, MAX(I$1:I874)+1, "")</f>
        <v/>
      </c>
    </row>
    <row r="876" spans="1:9" x14ac:dyDescent="0.2">
      <c r="A876" t="s">
        <v>29</v>
      </c>
      <c r="B876" t="str">
        <f>Riego!A14</f>
        <v>Conducción Fluidos</v>
      </c>
      <c r="C876" t="str">
        <f>Riego!B14</f>
        <v>RIEGO Y DISTRIBUCIÓN HIDRÁULICA</v>
      </c>
      <c r="D876">
        <f>Riego!F14</f>
        <v>15577</v>
      </c>
      <c r="E876" t="str">
        <f>Riego!G14</f>
        <v>PP FT PLANSA TAPON GOTERO 4</v>
      </c>
      <c r="F876">
        <f>Riego!H14</f>
        <v>1000</v>
      </c>
      <c r="G876" t="str">
        <f>Riego!I14</f>
        <v>Bolsa</v>
      </c>
      <c r="H876">
        <f>IFERROR(IF(Riego!K14="",0,Riego!K14),0)</f>
        <v>0</v>
      </c>
      <c r="I876" s="58" t="str">
        <f>IF(H876&gt;0, MAX(I$1:I875)+1, "")</f>
        <v/>
      </c>
    </row>
    <row r="877" spans="1:9" x14ac:dyDescent="0.2">
      <c r="A877" t="s">
        <v>29</v>
      </c>
      <c r="B877" t="str">
        <f>Riego!A15</f>
        <v>Conducción Fluidos</v>
      </c>
      <c r="C877" t="str">
        <f>Riego!B15</f>
        <v>RIEGO Y DISTRIBUCIÓN HIDRÁULICA</v>
      </c>
      <c r="D877">
        <f>Riego!F15</f>
        <v>15578</v>
      </c>
      <c r="E877" t="str">
        <f>Riego!G15</f>
        <v>PP FT PLANSA ANILLO FINAL 16 (TERMINAL)</v>
      </c>
      <c r="F877">
        <f>Riego!H15</f>
        <v>250</v>
      </c>
      <c r="G877" t="str">
        <f>Riego!I15</f>
        <v>Bolsa</v>
      </c>
      <c r="H877">
        <f>IFERROR(IF(Riego!K15="",0,Riego!K15),0)</f>
        <v>0</v>
      </c>
      <c r="I877" s="58" t="str">
        <f>IF(H877&gt;0, MAX(I$1:I876)+1, "")</f>
        <v/>
      </c>
    </row>
    <row r="878" spans="1:9" x14ac:dyDescent="0.2">
      <c r="A878" t="s">
        <v>29</v>
      </c>
      <c r="B878" t="str">
        <f>Riego!A16</f>
        <v>Conducción Fluidos</v>
      </c>
      <c r="C878" t="str">
        <f>Riego!B16</f>
        <v>RIEGO Y DISTRIBUCIÓN HIDRÁULICA</v>
      </c>
      <c r="D878">
        <f>Riego!F16</f>
        <v>15579</v>
      </c>
      <c r="E878" t="str">
        <f>Riego!G16</f>
        <v>PP FT PLANSA GOTERO REGUL 0-60LTS CHERRY</v>
      </c>
      <c r="F878">
        <f>Riego!H16</f>
        <v>100</v>
      </c>
      <c r="G878" t="str">
        <f>Riego!I16</f>
        <v>Bolsa</v>
      </c>
      <c r="H878">
        <f>IFERROR(IF(Riego!K16="",0,Riego!K16),0)</f>
        <v>0</v>
      </c>
      <c r="I878" s="58" t="str">
        <f>IF(H878&gt;0, MAX(I$1:I877)+1, "")</f>
        <v/>
      </c>
    </row>
    <row r="879" spans="1:9" x14ac:dyDescent="0.2">
      <c r="A879" t="s">
        <v>29</v>
      </c>
      <c r="B879" t="str">
        <f>Riego!A17</f>
        <v>Conducción Fluidos</v>
      </c>
      <c r="C879" t="str">
        <f>Riego!B17</f>
        <v>RIEGO Y DISTRIBUCIÓN HIDRÁULICA</v>
      </c>
      <c r="D879">
        <f>Riego!F17</f>
        <v>15581</v>
      </c>
      <c r="E879" t="str">
        <f>Riego!G17</f>
        <v>PP PLANSA LL/V VALVULA RAMAL NARANJA</v>
      </c>
      <c r="F879">
        <f>Riego!H17</f>
        <v>35</v>
      </c>
      <c r="G879" t="str">
        <f>Riego!I17</f>
        <v>Bolsa</v>
      </c>
      <c r="H879">
        <f>IFERROR(IF(Riego!K17="",0,Riego!K17),0)</f>
        <v>0</v>
      </c>
      <c r="I879" s="58" t="str">
        <f>IF(H879&gt;0, MAX(I$1:I878)+1, "")</f>
        <v/>
      </c>
    </row>
    <row r="880" spans="1:9" x14ac:dyDescent="0.2">
      <c r="A880" t="s">
        <v>29</v>
      </c>
      <c r="B880" t="str">
        <f>Riego!A18</f>
        <v>Conducción Fluidos</v>
      </c>
      <c r="C880" t="str">
        <f>Riego!B18</f>
        <v>RIEGO Y DISTRIBUCIÓN HIDRÁULICA</v>
      </c>
      <c r="D880">
        <f>Riego!F18</f>
        <v>15582</v>
      </c>
      <c r="E880" t="str">
        <f>Riego!G18</f>
        <v>PP FT PLANSA ASPERSOR 1/2'</v>
      </c>
      <c r="F880">
        <f>Riego!H18</f>
        <v>1</v>
      </c>
      <c r="G880" t="str">
        <f>Riego!I18</f>
        <v>Unitario</v>
      </c>
      <c r="H880">
        <f>IFERROR(IF(Riego!K18="",0,Riego!K18),0)</f>
        <v>0</v>
      </c>
      <c r="I880" s="58" t="str">
        <f>IF(H880&gt;0, MAX(I$1:I879)+1, "")</f>
        <v/>
      </c>
    </row>
    <row r="881" spans="1:9" x14ac:dyDescent="0.2">
      <c r="A881" t="s">
        <v>29</v>
      </c>
      <c r="B881" t="str">
        <f>Riego!A19</f>
        <v>Conducción Fluidos</v>
      </c>
      <c r="C881" t="str">
        <f>Riego!B19</f>
        <v>RIEGO Y DISTRIBUCIÓN HIDRÁULICA</v>
      </c>
      <c r="D881">
        <f>Riego!F19</f>
        <v>15580</v>
      </c>
      <c r="E881" t="str">
        <f>Riego!G19</f>
        <v>PP HERR PLANSA SACABOCADOS 3 MM P.CAR</v>
      </c>
      <c r="F881">
        <f>Riego!H19</f>
        <v>1</v>
      </c>
      <c r="G881" t="str">
        <f>Riego!I19</f>
        <v>Unitario</v>
      </c>
      <c r="H881">
        <f>IFERROR(IF(Riego!K19="",0,Riego!K19),0)</f>
        <v>0</v>
      </c>
      <c r="I881" s="58" t="str">
        <f>IF(H881&gt;0, MAX(I$1:I880)+1, "")</f>
        <v/>
      </c>
    </row>
    <row r="882" spans="1:9" x14ac:dyDescent="0.2">
      <c r="A882" t="s">
        <v>29</v>
      </c>
      <c r="B882" t="str">
        <f>Riego!A20</f>
        <v>Conducción Fluidos</v>
      </c>
      <c r="C882" t="str">
        <f>Riego!B20</f>
        <v>RIEGO Y DISTRIBUCIÓN HIDRÁULICA</v>
      </c>
      <c r="D882">
        <f>Riego!F20</f>
        <v>63400</v>
      </c>
      <c r="E882" t="str">
        <f>Riego!G20</f>
        <v>PP COMPRES FT COPLA 20</v>
      </c>
      <c r="F882">
        <f>Riego!H20</f>
        <v>20</v>
      </c>
      <c r="G882" t="str">
        <f>Riego!I20</f>
        <v>Bolsa</v>
      </c>
      <c r="H882">
        <f>IFERROR(IF(Riego!K20="",0,Riego!K20),0)</f>
        <v>0</v>
      </c>
      <c r="I882" s="58" t="str">
        <f>IF(H882&gt;0, MAX(I$1:I881)+1, "")</f>
        <v/>
      </c>
    </row>
    <row r="883" spans="1:9" x14ac:dyDescent="0.2">
      <c r="A883" t="s">
        <v>29</v>
      </c>
      <c r="B883" t="str">
        <f>Riego!A21</f>
        <v>Conducción Fluidos</v>
      </c>
      <c r="C883" t="str">
        <f>Riego!B21</f>
        <v>RIEGO Y DISTRIBUCIÓN HIDRÁULICA</v>
      </c>
      <c r="D883">
        <f>Riego!F21</f>
        <v>63401</v>
      </c>
      <c r="E883" t="str">
        <f>Riego!G21</f>
        <v>PP COMPRES FT COPLA 25</v>
      </c>
      <c r="F883">
        <f>Riego!H21</f>
        <v>10</v>
      </c>
      <c r="G883" t="str">
        <f>Riego!I21</f>
        <v>Bolsa</v>
      </c>
      <c r="H883">
        <f>IFERROR(IF(Riego!K21="",0,Riego!K21),0)</f>
        <v>0</v>
      </c>
      <c r="I883" s="58" t="str">
        <f>IF(H883&gt;0, MAX(I$1:I882)+1, "")</f>
        <v/>
      </c>
    </row>
    <row r="884" spans="1:9" x14ac:dyDescent="0.2">
      <c r="A884" t="s">
        <v>29</v>
      </c>
      <c r="B884" t="str">
        <f>Riego!A22</f>
        <v>Conducción Fluidos</v>
      </c>
      <c r="C884" t="str">
        <f>Riego!B22</f>
        <v>RIEGO Y DISTRIBUCIÓN HIDRÁULICA</v>
      </c>
      <c r="D884">
        <f>Riego!F22</f>
        <v>63402</v>
      </c>
      <c r="E884" t="str">
        <f>Riego!G22</f>
        <v>PP COMPRES FT COPLA 32</v>
      </c>
      <c r="F884">
        <f>Riego!H22</f>
        <v>7</v>
      </c>
      <c r="G884" t="str">
        <f>Riego!I22</f>
        <v>Bolsa</v>
      </c>
      <c r="H884">
        <f>IFERROR(IF(Riego!K22="",0,Riego!K22),0)</f>
        <v>0</v>
      </c>
      <c r="I884" s="58" t="str">
        <f>IF(H884&gt;0, MAX(I$1:I883)+1, "")</f>
        <v/>
      </c>
    </row>
    <row r="885" spans="1:9" x14ac:dyDescent="0.2">
      <c r="A885" t="s">
        <v>29</v>
      </c>
      <c r="B885" t="str">
        <f>Riego!A23</f>
        <v>Conducción Fluidos</v>
      </c>
      <c r="C885" t="str">
        <f>Riego!B23</f>
        <v>RIEGO Y DISTRIBUCIÓN HIDRÁULICA</v>
      </c>
      <c r="D885">
        <f>Riego!F23</f>
        <v>63403</v>
      </c>
      <c r="E885" t="str">
        <f>Riego!G23</f>
        <v>PP COMPRES FT COPLA 40</v>
      </c>
      <c r="F885">
        <f>Riego!H23</f>
        <v>4</v>
      </c>
      <c r="G885" t="str">
        <f>Riego!I23</f>
        <v>Bolsa</v>
      </c>
      <c r="H885">
        <f>IFERROR(IF(Riego!K23="",0,Riego!K23),0)</f>
        <v>0</v>
      </c>
      <c r="I885" s="58" t="str">
        <f>IF(H885&gt;0, MAX(I$1:I884)+1, "")</f>
        <v/>
      </c>
    </row>
    <row r="886" spans="1:9" x14ac:dyDescent="0.2">
      <c r="A886" t="s">
        <v>29</v>
      </c>
      <c r="B886" t="str">
        <f>Riego!A24</f>
        <v>Conducción Fluidos</v>
      </c>
      <c r="C886" t="str">
        <f>Riego!B24</f>
        <v>RIEGO Y DISTRIBUCIÓN HIDRÁULICA</v>
      </c>
      <c r="D886">
        <f>Riego!F24</f>
        <v>63404</v>
      </c>
      <c r="E886" t="str">
        <f>Riego!G24</f>
        <v>PP COMPRES FT COPLA 50</v>
      </c>
      <c r="F886">
        <f>Riego!H24</f>
        <v>1</v>
      </c>
      <c r="G886" t="str">
        <f>Riego!I24</f>
        <v>Bolsa</v>
      </c>
      <c r="H886">
        <f>IFERROR(IF(Riego!K24="",0,Riego!K24),0)</f>
        <v>0</v>
      </c>
      <c r="I886" s="58" t="str">
        <f>IF(H886&gt;0, MAX(I$1:I885)+1, "")</f>
        <v/>
      </c>
    </row>
    <row r="887" spans="1:9" x14ac:dyDescent="0.2">
      <c r="A887" t="s">
        <v>29</v>
      </c>
      <c r="B887" t="str">
        <f>Riego!A25</f>
        <v>Conducción Fluidos</v>
      </c>
      <c r="C887" t="str">
        <f>Riego!B25</f>
        <v>RIEGO Y DISTRIBUCIÓN HIDRÁULICA</v>
      </c>
      <c r="D887">
        <f>Riego!F25</f>
        <v>63405</v>
      </c>
      <c r="E887" t="str">
        <f>Riego!G25</f>
        <v>PP COMPRES FT COPLA 63</v>
      </c>
      <c r="F887">
        <f>Riego!H25</f>
        <v>1</v>
      </c>
      <c r="G887" t="str">
        <f>Riego!I25</f>
        <v>Bolsa</v>
      </c>
      <c r="H887">
        <f>IFERROR(IF(Riego!K25="",0,Riego!K25),0)</f>
        <v>0</v>
      </c>
      <c r="I887" s="58" t="str">
        <f>IF(H887&gt;0, MAX(I$1:I886)+1, "")</f>
        <v/>
      </c>
    </row>
    <row r="888" spans="1:9" x14ac:dyDescent="0.2">
      <c r="A888" t="s">
        <v>29</v>
      </c>
      <c r="B888" t="str">
        <f>Riego!A26</f>
        <v>Conducción Fluidos</v>
      </c>
      <c r="C888" t="str">
        <f>Riego!B26</f>
        <v>RIEGO Y DISTRIBUCIÓN HIDRÁULICA</v>
      </c>
      <c r="D888">
        <f>Riego!F26</f>
        <v>63410</v>
      </c>
      <c r="E888" t="str">
        <f>Riego!G26</f>
        <v>PP COMPRES FT COPLA RED 25X20</v>
      </c>
      <c r="F888">
        <f>Riego!H26</f>
        <v>15</v>
      </c>
      <c r="G888" t="str">
        <f>Riego!I26</f>
        <v>Bolsa</v>
      </c>
      <c r="H888">
        <f>IFERROR(IF(Riego!K26="",0,Riego!K26),0)</f>
        <v>0</v>
      </c>
      <c r="I888" s="58" t="str">
        <f>IF(H888&gt;0, MAX(I$1:I887)+1, "")</f>
        <v/>
      </c>
    </row>
    <row r="889" spans="1:9" x14ac:dyDescent="0.2">
      <c r="A889" t="s">
        <v>29</v>
      </c>
      <c r="B889" t="str">
        <f>Riego!A27</f>
        <v>Conducción Fluidos</v>
      </c>
      <c r="C889" t="str">
        <f>Riego!B27</f>
        <v>RIEGO Y DISTRIBUCIÓN HIDRÁULICA</v>
      </c>
      <c r="D889">
        <f>Riego!F27</f>
        <v>63411</v>
      </c>
      <c r="E889" t="str">
        <f>Riego!G27</f>
        <v>PP COMPRES FT COPLA RED 32X20</v>
      </c>
      <c r="F889">
        <f>Riego!H27</f>
        <v>8</v>
      </c>
      <c r="G889" t="str">
        <f>Riego!I27</f>
        <v>Bolsa</v>
      </c>
      <c r="H889">
        <f>IFERROR(IF(Riego!K27="",0,Riego!K27),0)</f>
        <v>0</v>
      </c>
      <c r="I889" s="58" t="str">
        <f>IF(H889&gt;0, MAX(I$1:I888)+1, "")</f>
        <v/>
      </c>
    </row>
    <row r="890" spans="1:9" x14ac:dyDescent="0.2">
      <c r="A890" t="s">
        <v>29</v>
      </c>
      <c r="B890" t="str">
        <f>Riego!A28</f>
        <v>Conducción Fluidos</v>
      </c>
      <c r="C890" t="str">
        <f>Riego!B28</f>
        <v>RIEGO Y DISTRIBUCIÓN HIDRÁULICA</v>
      </c>
      <c r="D890">
        <f>Riego!F28</f>
        <v>63412</v>
      </c>
      <c r="E890" t="str">
        <f>Riego!G28</f>
        <v>PP COMPRES FT COPLA RED 32X25</v>
      </c>
      <c r="F890">
        <f>Riego!H28</f>
        <v>8</v>
      </c>
      <c r="G890" t="str">
        <f>Riego!I28</f>
        <v>Bolsa</v>
      </c>
      <c r="H890">
        <f>IFERROR(IF(Riego!K28="",0,Riego!K28),0)</f>
        <v>0</v>
      </c>
      <c r="I890" s="58" t="str">
        <f>IF(H890&gt;0, MAX(I$1:I889)+1, "")</f>
        <v/>
      </c>
    </row>
    <row r="891" spans="1:9" x14ac:dyDescent="0.2">
      <c r="A891" t="s">
        <v>29</v>
      </c>
      <c r="B891" t="str">
        <f>Riego!A29</f>
        <v>Conducción Fluidos</v>
      </c>
      <c r="C891" t="str">
        <f>Riego!B29</f>
        <v>RIEGO Y DISTRIBUCIÓN HIDRÁULICA</v>
      </c>
      <c r="D891">
        <f>Riego!F29</f>
        <v>63413</v>
      </c>
      <c r="E891" t="str">
        <f>Riego!G29</f>
        <v>PP COMPRES FT COPLA RED 40X25</v>
      </c>
      <c r="F891">
        <f>Riego!H29</f>
        <v>5</v>
      </c>
      <c r="G891" t="str">
        <f>Riego!I29</f>
        <v>Bolsa</v>
      </c>
      <c r="H891">
        <f>IFERROR(IF(Riego!K29="",0,Riego!K29),0)</f>
        <v>0</v>
      </c>
      <c r="I891" s="58" t="str">
        <f>IF(H891&gt;0, MAX(I$1:I890)+1, "")</f>
        <v/>
      </c>
    </row>
    <row r="892" spans="1:9" x14ac:dyDescent="0.2">
      <c r="A892" t="s">
        <v>29</v>
      </c>
      <c r="B892" t="str">
        <f>Riego!A30</f>
        <v>Conducción Fluidos</v>
      </c>
      <c r="C892" t="str">
        <f>Riego!B30</f>
        <v>RIEGO Y DISTRIBUCIÓN HIDRÁULICA</v>
      </c>
      <c r="D892">
        <f>Riego!F30</f>
        <v>63414</v>
      </c>
      <c r="E892" t="str">
        <f>Riego!G30</f>
        <v>PP COMPRES FT COPLA RED 40X32</v>
      </c>
      <c r="F892">
        <f>Riego!H30</f>
        <v>4</v>
      </c>
      <c r="G892" t="str">
        <f>Riego!I30</f>
        <v>Bolsa</v>
      </c>
      <c r="H892">
        <f>IFERROR(IF(Riego!K30="",0,Riego!K30),0)</f>
        <v>0</v>
      </c>
      <c r="I892" s="58" t="str">
        <f>IF(H892&gt;0, MAX(I$1:I891)+1, "")</f>
        <v/>
      </c>
    </row>
    <row r="893" spans="1:9" x14ac:dyDescent="0.2">
      <c r="A893" t="s">
        <v>29</v>
      </c>
      <c r="B893" t="str">
        <f>Riego!A31</f>
        <v>Conducción Fluidos</v>
      </c>
      <c r="C893" t="str">
        <f>Riego!B31</f>
        <v>RIEGO Y DISTRIBUCIÓN HIDRÁULICA</v>
      </c>
      <c r="D893">
        <f>Riego!F31</f>
        <v>63415</v>
      </c>
      <c r="E893" t="str">
        <f>Riego!G31</f>
        <v>PP COMPRES FT COPLA RED 50X20</v>
      </c>
      <c r="F893">
        <f>Riego!H31</f>
        <v>1</v>
      </c>
      <c r="G893" t="str">
        <f>Riego!I31</f>
        <v>Bolsa</v>
      </c>
      <c r="H893">
        <f>IFERROR(IF(Riego!K31="",0,Riego!K31),0)</f>
        <v>0</v>
      </c>
      <c r="I893" s="58" t="str">
        <f>IF(H893&gt;0, MAX(I$1:I892)+1, "")</f>
        <v/>
      </c>
    </row>
    <row r="894" spans="1:9" x14ac:dyDescent="0.2">
      <c r="A894" t="s">
        <v>29</v>
      </c>
      <c r="B894" t="str">
        <f>Riego!A32</f>
        <v>Conducción Fluidos</v>
      </c>
      <c r="C894" t="str">
        <f>Riego!B32</f>
        <v>RIEGO Y DISTRIBUCIÓN HIDRÁULICA</v>
      </c>
      <c r="D894">
        <f>Riego!F32</f>
        <v>63416</v>
      </c>
      <c r="E894" t="str">
        <f>Riego!G32</f>
        <v>PP COMPRES FT COPLA RED 50X25</v>
      </c>
      <c r="F894">
        <f>Riego!H32</f>
        <v>1</v>
      </c>
      <c r="G894" t="str">
        <f>Riego!I32</f>
        <v>Bolsa</v>
      </c>
      <c r="H894">
        <f>IFERROR(IF(Riego!K32="",0,Riego!K32),0)</f>
        <v>0</v>
      </c>
      <c r="I894" s="58" t="str">
        <f>IF(H894&gt;0, MAX(I$1:I893)+1, "")</f>
        <v/>
      </c>
    </row>
    <row r="895" spans="1:9" x14ac:dyDescent="0.2">
      <c r="A895" t="s">
        <v>29</v>
      </c>
      <c r="B895" t="str">
        <f>Riego!A33</f>
        <v>Conducción Fluidos</v>
      </c>
      <c r="C895" t="str">
        <f>Riego!B33</f>
        <v>RIEGO Y DISTRIBUCIÓN HIDRÁULICA</v>
      </c>
      <c r="D895">
        <f>Riego!F33</f>
        <v>63417</v>
      </c>
      <c r="E895" t="str">
        <f>Riego!G33</f>
        <v>PP COMPRES FT COPLA RED 50X32</v>
      </c>
      <c r="F895">
        <f>Riego!H33</f>
        <v>1</v>
      </c>
      <c r="G895" t="str">
        <f>Riego!I33</f>
        <v>Bolsa</v>
      </c>
      <c r="H895">
        <f>IFERROR(IF(Riego!K33="",0,Riego!K33),0)</f>
        <v>0</v>
      </c>
      <c r="I895" s="58" t="str">
        <f>IF(H895&gt;0, MAX(I$1:I894)+1, "")</f>
        <v/>
      </c>
    </row>
    <row r="896" spans="1:9" x14ac:dyDescent="0.2">
      <c r="A896" t="s">
        <v>29</v>
      </c>
      <c r="B896" t="str">
        <f>Riego!A34</f>
        <v>Conducción Fluidos</v>
      </c>
      <c r="C896" t="str">
        <f>Riego!B34</f>
        <v>RIEGO Y DISTRIBUCIÓN HIDRÁULICA</v>
      </c>
      <c r="D896">
        <f>Riego!F34</f>
        <v>63418</v>
      </c>
      <c r="E896" t="str">
        <f>Riego!G34</f>
        <v>PP COMPRES FT COPLA RED 50X40</v>
      </c>
      <c r="F896">
        <f>Riego!H34</f>
        <v>1</v>
      </c>
      <c r="G896" t="str">
        <f>Riego!I34</f>
        <v>Bolsa</v>
      </c>
      <c r="H896">
        <f>IFERROR(IF(Riego!K34="",0,Riego!K34),0)</f>
        <v>0</v>
      </c>
      <c r="I896" s="58" t="str">
        <f>IF(H896&gt;0, MAX(I$1:I895)+1, "")</f>
        <v/>
      </c>
    </row>
    <row r="897" spans="1:9" x14ac:dyDescent="0.2">
      <c r="A897" t="s">
        <v>29</v>
      </c>
      <c r="B897" t="str">
        <f>Riego!A35</f>
        <v>Conducción Fluidos</v>
      </c>
      <c r="C897" t="str">
        <f>Riego!B35</f>
        <v>RIEGO Y DISTRIBUCIÓN HIDRÁULICA</v>
      </c>
      <c r="D897">
        <f>Riego!F35</f>
        <v>63419</v>
      </c>
      <c r="E897" t="str">
        <f>Riego!G35</f>
        <v>PP COMPRES FT COPLA RED 63X25</v>
      </c>
      <c r="F897">
        <f>Riego!H35</f>
        <v>1</v>
      </c>
      <c r="G897" t="str">
        <f>Riego!I35</f>
        <v>Bolsa</v>
      </c>
      <c r="H897">
        <f>IFERROR(IF(Riego!K35="",0,Riego!K35),0)</f>
        <v>0</v>
      </c>
      <c r="I897" s="58" t="str">
        <f>IF(H897&gt;0, MAX(I$1:I896)+1, "")</f>
        <v/>
      </c>
    </row>
    <row r="898" spans="1:9" x14ac:dyDescent="0.2">
      <c r="A898" t="s">
        <v>29</v>
      </c>
      <c r="B898" t="str">
        <f>Riego!A36</f>
        <v>Conducción Fluidos</v>
      </c>
      <c r="C898" t="str">
        <f>Riego!B36</f>
        <v>RIEGO Y DISTRIBUCIÓN HIDRÁULICA</v>
      </c>
      <c r="D898">
        <f>Riego!F36</f>
        <v>63420</v>
      </c>
      <c r="E898" t="str">
        <f>Riego!G36</f>
        <v>PP COMPRES FT COPLA RED 63X32</v>
      </c>
      <c r="F898">
        <f>Riego!H36</f>
        <v>1</v>
      </c>
      <c r="G898" t="str">
        <f>Riego!I36</f>
        <v>Bolsa</v>
      </c>
      <c r="H898">
        <f>IFERROR(IF(Riego!K36="",0,Riego!K36),0)</f>
        <v>0</v>
      </c>
      <c r="I898" s="58" t="str">
        <f>IF(H898&gt;0, MAX(I$1:I897)+1, "")</f>
        <v/>
      </c>
    </row>
    <row r="899" spans="1:9" x14ac:dyDescent="0.2">
      <c r="A899" t="s">
        <v>29</v>
      </c>
      <c r="B899" t="str">
        <f>Riego!A37</f>
        <v>Conducción Fluidos</v>
      </c>
      <c r="C899" t="str">
        <f>Riego!B37</f>
        <v>RIEGO Y DISTRIBUCIÓN HIDRÁULICA</v>
      </c>
      <c r="D899">
        <f>Riego!F37</f>
        <v>63421</v>
      </c>
      <c r="E899" t="str">
        <f>Riego!G37</f>
        <v>PP COMPRES FT COPLA RED 63X40</v>
      </c>
      <c r="F899">
        <f>Riego!H37</f>
        <v>1</v>
      </c>
      <c r="G899" t="str">
        <f>Riego!I37</f>
        <v>Bolsa</v>
      </c>
      <c r="H899">
        <f>IFERROR(IF(Riego!K37="",0,Riego!K37),0)</f>
        <v>0</v>
      </c>
      <c r="I899" s="58" t="str">
        <f>IF(H899&gt;0, MAX(I$1:I898)+1, "")</f>
        <v/>
      </c>
    </row>
    <row r="900" spans="1:9" x14ac:dyDescent="0.2">
      <c r="A900" t="s">
        <v>29</v>
      </c>
      <c r="B900" t="str">
        <f>Riego!A38</f>
        <v>Conducción Fluidos</v>
      </c>
      <c r="C900" t="str">
        <f>Riego!B38</f>
        <v>RIEGO Y DISTRIBUCIÓN HIDRÁULICA</v>
      </c>
      <c r="D900">
        <f>Riego!F38</f>
        <v>63422</v>
      </c>
      <c r="E900" t="str">
        <f>Riego!G38</f>
        <v>PP COMPRES FT COPLA RED 63X50</v>
      </c>
      <c r="F900">
        <f>Riego!H38</f>
        <v>1</v>
      </c>
      <c r="G900" t="str">
        <f>Riego!I38</f>
        <v>Bolsa</v>
      </c>
      <c r="H900">
        <f>IFERROR(IF(Riego!K38="",0,Riego!K38),0)</f>
        <v>0</v>
      </c>
      <c r="I900" s="58" t="str">
        <f>IF(H900&gt;0, MAX(I$1:I899)+1, "")</f>
        <v/>
      </c>
    </row>
    <row r="901" spans="1:9" x14ac:dyDescent="0.2">
      <c r="A901" t="s">
        <v>29</v>
      </c>
      <c r="B901" t="str">
        <f>Riego!A39</f>
        <v>Conducción Fluidos</v>
      </c>
      <c r="C901" t="str">
        <f>Riego!B39</f>
        <v>RIEGO Y DISTRIBUCIÓN HIDRÁULICA</v>
      </c>
      <c r="D901">
        <f>Riego!F39</f>
        <v>63503</v>
      </c>
      <c r="E901" t="str">
        <f>Riego!G39</f>
        <v>PP COMPRES FT TERMINAL C/REF HI 20X1/2</v>
      </c>
      <c r="F901">
        <f>Riego!H39</f>
        <v>30</v>
      </c>
      <c r="G901" t="str">
        <f>Riego!I39</f>
        <v>Bolsa</v>
      </c>
      <c r="H901">
        <f>IFERROR(IF(Riego!K39="",0,Riego!K39),0)</f>
        <v>0</v>
      </c>
      <c r="I901" s="58" t="str">
        <f>IF(H901&gt;0, MAX(I$1:I900)+1, "")</f>
        <v/>
      </c>
    </row>
    <row r="902" spans="1:9" x14ac:dyDescent="0.2">
      <c r="A902" t="s">
        <v>29</v>
      </c>
      <c r="B902" t="str">
        <f>Riego!A40</f>
        <v>Conducción Fluidos</v>
      </c>
      <c r="C902" t="str">
        <f>Riego!B40</f>
        <v>RIEGO Y DISTRIBUCIÓN HIDRÁULICA</v>
      </c>
      <c r="D902">
        <f>Riego!F40</f>
        <v>63506</v>
      </c>
      <c r="E902" t="str">
        <f>Riego!G40</f>
        <v>PP COMPRES FT TERMINAL C/REF HI 20X3/4</v>
      </c>
      <c r="F902">
        <f>Riego!H40</f>
        <v>20</v>
      </c>
      <c r="G902" t="str">
        <f>Riego!I40</f>
        <v>Bolsa</v>
      </c>
      <c r="H902">
        <f>IFERROR(IF(Riego!K40="",0,Riego!K40),0)</f>
        <v>0</v>
      </c>
      <c r="I902" s="58" t="str">
        <f>IF(H902&gt;0, MAX(I$1:I901)+1, "")</f>
        <v/>
      </c>
    </row>
    <row r="903" spans="1:9" x14ac:dyDescent="0.2">
      <c r="A903" t="s">
        <v>29</v>
      </c>
      <c r="B903" t="str">
        <f>Riego!A41</f>
        <v>Conducción Fluidos</v>
      </c>
      <c r="C903" t="str">
        <f>Riego!B41</f>
        <v>RIEGO Y DISTRIBUCIÓN HIDRÁULICA</v>
      </c>
      <c r="D903">
        <f>Riego!F41</f>
        <v>63507</v>
      </c>
      <c r="E903" t="str">
        <f>Riego!G41</f>
        <v>PP COMPRES FT TERMINAL C/REF HI 20X1</v>
      </c>
      <c r="F903">
        <f>Riego!H41</f>
        <v>20</v>
      </c>
      <c r="G903" t="str">
        <f>Riego!I41</f>
        <v>Bolsa</v>
      </c>
      <c r="H903">
        <f>IFERROR(IF(Riego!K41="",0,Riego!K41),0)</f>
        <v>0</v>
      </c>
      <c r="I903" s="58" t="str">
        <f>IF(H903&gt;0, MAX(I$1:I902)+1, "")</f>
        <v/>
      </c>
    </row>
    <row r="904" spans="1:9" x14ac:dyDescent="0.2">
      <c r="A904" t="s">
        <v>29</v>
      </c>
      <c r="B904" t="str">
        <f>Riego!A42</f>
        <v>Conducción Fluidos</v>
      </c>
      <c r="C904" t="str">
        <f>Riego!B42</f>
        <v>RIEGO Y DISTRIBUCIÓN HIDRÁULICA</v>
      </c>
      <c r="D904">
        <f>Riego!F42</f>
        <v>63508</v>
      </c>
      <c r="E904" t="str">
        <f>Riego!G42</f>
        <v>PP COMPRES FT TERMINAL C/REF HI 25X1/2</v>
      </c>
      <c r="F904">
        <f>Riego!H42</f>
        <v>20</v>
      </c>
      <c r="G904" t="str">
        <f>Riego!I42</f>
        <v>Bolsa</v>
      </c>
      <c r="H904">
        <f>IFERROR(IF(Riego!K42="",0,Riego!K42),0)</f>
        <v>0</v>
      </c>
      <c r="I904" s="58" t="str">
        <f>IF(H904&gt;0, MAX(I$1:I903)+1, "")</f>
        <v/>
      </c>
    </row>
    <row r="905" spans="1:9" x14ac:dyDescent="0.2">
      <c r="A905" t="s">
        <v>29</v>
      </c>
      <c r="B905" t="str">
        <f>Riego!A43</f>
        <v>Conducción Fluidos</v>
      </c>
      <c r="C905" t="str">
        <f>Riego!B43</f>
        <v>RIEGO Y DISTRIBUCIÓN HIDRÁULICA</v>
      </c>
      <c r="D905">
        <f>Riego!F43</f>
        <v>63504</v>
      </c>
      <c r="E905" t="str">
        <f>Riego!G43</f>
        <v>PP COMPRES FT TERMINAL C/REF HI 25X3/4</v>
      </c>
      <c r="F905">
        <f>Riego!H43</f>
        <v>20</v>
      </c>
      <c r="G905" t="str">
        <f>Riego!I43</f>
        <v>Bolsa</v>
      </c>
      <c r="H905">
        <f>IFERROR(IF(Riego!K43="",0,Riego!K43),0)</f>
        <v>0</v>
      </c>
      <c r="I905" s="58" t="str">
        <f>IF(H905&gt;0, MAX(I$1:I904)+1, "")</f>
        <v/>
      </c>
    </row>
    <row r="906" spans="1:9" x14ac:dyDescent="0.2">
      <c r="A906" t="s">
        <v>29</v>
      </c>
      <c r="B906" t="str">
        <f>Riego!A44</f>
        <v>Conducción Fluidos</v>
      </c>
      <c r="C906" t="str">
        <f>Riego!B44</f>
        <v>RIEGO Y DISTRIBUCIÓN HIDRÁULICA</v>
      </c>
      <c r="D906">
        <f>Riego!F44</f>
        <v>63509</v>
      </c>
      <c r="E906" t="str">
        <f>Riego!G44</f>
        <v>PP COMPRES FT TERMINAL C/REF HI 25X1</v>
      </c>
      <c r="F906">
        <f>Riego!H44</f>
        <v>20</v>
      </c>
      <c r="G906" t="str">
        <f>Riego!I44</f>
        <v>Bolsa</v>
      </c>
      <c r="H906">
        <f>IFERROR(IF(Riego!K44="",0,Riego!K44),0)</f>
        <v>0</v>
      </c>
      <c r="I906" s="58" t="str">
        <f>IF(H906&gt;0, MAX(I$1:I905)+1, "")</f>
        <v/>
      </c>
    </row>
    <row r="907" spans="1:9" x14ac:dyDescent="0.2">
      <c r="A907" t="s">
        <v>29</v>
      </c>
      <c r="B907" t="str">
        <f>Riego!A45</f>
        <v>Conducción Fluidos</v>
      </c>
      <c r="C907" t="str">
        <f>Riego!B45</f>
        <v>RIEGO Y DISTRIBUCIÓN HIDRÁULICA</v>
      </c>
      <c r="D907">
        <f>Riego!F45</f>
        <v>63510</v>
      </c>
      <c r="E907" t="str">
        <f>Riego!G45</f>
        <v>PP COMPRES FT TERMINAL C/REF HI 32X1/2</v>
      </c>
      <c r="F907">
        <f>Riego!H45</f>
        <v>10</v>
      </c>
      <c r="G907" t="str">
        <f>Riego!I45</f>
        <v>Bolsa</v>
      </c>
      <c r="H907">
        <f>IFERROR(IF(Riego!K45="",0,Riego!K45),0)</f>
        <v>0</v>
      </c>
      <c r="I907" s="58" t="str">
        <f>IF(H907&gt;0, MAX(I$1:I906)+1, "")</f>
        <v/>
      </c>
    </row>
    <row r="908" spans="1:9" x14ac:dyDescent="0.2">
      <c r="A908" t="s">
        <v>29</v>
      </c>
      <c r="B908" t="str">
        <f>Riego!A46</f>
        <v>Conducción Fluidos</v>
      </c>
      <c r="C908" t="str">
        <f>Riego!B46</f>
        <v>RIEGO Y DISTRIBUCIÓN HIDRÁULICA</v>
      </c>
      <c r="D908">
        <f>Riego!F46</f>
        <v>63511</v>
      </c>
      <c r="E908" t="str">
        <f>Riego!G46</f>
        <v>PP COMPRES FT TERMINAL C/REF HI 32X3/4</v>
      </c>
      <c r="F908">
        <f>Riego!H46</f>
        <v>10</v>
      </c>
      <c r="G908" t="str">
        <f>Riego!I46</f>
        <v>Bolsa</v>
      </c>
      <c r="H908">
        <f>IFERROR(IF(Riego!K46="",0,Riego!K46),0)</f>
        <v>0</v>
      </c>
      <c r="I908" s="58" t="str">
        <f>IF(H908&gt;0, MAX(I$1:I907)+1, "")</f>
        <v/>
      </c>
    </row>
    <row r="909" spans="1:9" x14ac:dyDescent="0.2">
      <c r="A909" t="s">
        <v>29</v>
      </c>
      <c r="B909" t="str">
        <f>Riego!A47</f>
        <v>Conducción Fluidos</v>
      </c>
      <c r="C909" t="str">
        <f>Riego!B47</f>
        <v>RIEGO Y DISTRIBUCIÓN HIDRÁULICA</v>
      </c>
      <c r="D909">
        <f>Riego!F47</f>
        <v>63512</v>
      </c>
      <c r="E909" t="str">
        <f>Riego!G47</f>
        <v>PP COMPRES FT TERMINAL C/REF HI 32X1</v>
      </c>
      <c r="F909">
        <f>Riego!H47</f>
        <v>10</v>
      </c>
      <c r="G909" t="str">
        <f>Riego!I47</f>
        <v>Bolsa</v>
      </c>
      <c r="H909">
        <f>IFERROR(IF(Riego!K47="",0,Riego!K47),0)</f>
        <v>0</v>
      </c>
      <c r="I909" s="58" t="str">
        <f>IF(H909&gt;0, MAX(I$1:I908)+1, "")</f>
        <v/>
      </c>
    </row>
    <row r="910" spans="1:9" x14ac:dyDescent="0.2">
      <c r="A910" t="s">
        <v>29</v>
      </c>
      <c r="B910" t="str">
        <f>Riego!A48</f>
        <v>Conducción Fluidos</v>
      </c>
      <c r="C910" t="str">
        <f>Riego!B48</f>
        <v>RIEGO Y DISTRIBUCIÓN HIDRÁULICA</v>
      </c>
      <c r="D910">
        <f>Riego!F48</f>
        <v>63513</v>
      </c>
      <c r="E910" t="str">
        <f>Riego!G48</f>
        <v>PP COMPRES FT TERMINAL C/REF HI 32X1 1/4</v>
      </c>
      <c r="F910">
        <f>Riego!H48</f>
        <v>10</v>
      </c>
      <c r="G910" t="str">
        <f>Riego!I48</f>
        <v>Bolsa</v>
      </c>
      <c r="H910">
        <f>IFERROR(IF(Riego!K48="",0,Riego!K48),0)</f>
        <v>0</v>
      </c>
      <c r="I910" s="58" t="str">
        <f>IF(H910&gt;0, MAX(I$1:I909)+1, "")</f>
        <v/>
      </c>
    </row>
    <row r="911" spans="1:9" x14ac:dyDescent="0.2">
      <c r="A911" t="s">
        <v>29</v>
      </c>
      <c r="B911" t="str">
        <f>Riego!A49</f>
        <v>Conducción Fluidos</v>
      </c>
      <c r="C911" t="str">
        <f>Riego!B49</f>
        <v>RIEGO Y DISTRIBUCIÓN HIDRÁULICA</v>
      </c>
      <c r="D911">
        <f>Riego!F49</f>
        <v>63514</v>
      </c>
      <c r="E911" t="str">
        <f>Riego!G49</f>
        <v>PP COMPRES FT TERMINAL C/REF HI 40X1</v>
      </c>
      <c r="F911">
        <f>Riego!H49</f>
        <v>6</v>
      </c>
      <c r="G911" t="str">
        <f>Riego!I49</f>
        <v>Bolsa</v>
      </c>
      <c r="H911">
        <f>IFERROR(IF(Riego!K49="",0,Riego!K49),0)</f>
        <v>0</v>
      </c>
      <c r="I911" s="58" t="str">
        <f>IF(H911&gt;0, MAX(I$1:I910)+1, "")</f>
        <v/>
      </c>
    </row>
    <row r="912" spans="1:9" x14ac:dyDescent="0.2">
      <c r="A912" t="s">
        <v>29</v>
      </c>
      <c r="B912" t="str">
        <f>Riego!A50</f>
        <v>Conducción Fluidos</v>
      </c>
      <c r="C912" t="str">
        <f>Riego!B50</f>
        <v>RIEGO Y DISTRIBUCIÓN HIDRÁULICA</v>
      </c>
      <c r="D912">
        <f>Riego!F50</f>
        <v>63515</v>
      </c>
      <c r="E912" t="str">
        <f>Riego!G50</f>
        <v>PP COMPRES FT TERMINAL C/REF HI 40X1 1/4</v>
      </c>
      <c r="F912">
        <f>Riego!H50</f>
        <v>6</v>
      </c>
      <c r="G912" t="str">
        <f>Riego!I50</f>
        <v>Bolsa</v>
      </c>
      <c r="H912">
        <f>IFERROR(IF(Riego!K50="",0,Riego!K50),0)</f>
        <v>0</v>
      </c>
      <c r="I912" s="58" t="str">
        <f>IF(H912&gt;0, MAX(I$1:I911)+1, "")</f>
        <v/>
      </c>
    </row>
    <row r="913" spans="1:9" x14ac:dyDescent="0.2">
      <c r="A913" t="s">
        <v>29</v>
      </c>
      <c r="B913" t="str">
        <f>Riego!A51</f>
        <v>Conducción Fluidos</v>
      </c>
      <c r="C913" t="str">
        <f>Riego!B51</f>
        <v>RIEGO Y DISTRIBUCIÓN HIDRÁULICA</v>
      </c>
      <c r="D913">
        <f>Riego!F51</f>
        <v>63516</v>
      </c>
      <c r="E913" t="str">
        <f>Riego!G51</f>
        <v>PP COMPRES FT TERMINAL C/REF HI 40X1 1/2</v>
      </c>
      <c r="F913">
        <f>Riego!H51</f>
        <v>6</v>
      </c>
      <c r="G913" t="str">
        <f>Riego!I51</f>
        <v>Bolsa</v>
      </c>
      <c r="H913">
        <f>IFERROR(IF(Riego!K51="",0,Riego!K51),0)</f>
        <v>0</v>
      </c>
      <c r="I913" s="58" t="str">
        <f>IF(H913&gt;0, MAX(I$1:I912)+1, "")</f>
        <v/>
      </c>
    </row>
    <row r="914" spans="1:9" x14ac:dyDescent="0.2">
      <c r="A914" t="s">
        <v>29</v>
      </c>
      <c r="B914" t="str">
        <f>Riego!A52</f>
        <v>Conducción Fluidos</v>
      </c>
      <c r="C914" t="str">
        <f>Riego!B52</f>
        <v>RIEGO Y DISTRIBUCIÓN HIDRÁULICA</v>
      </c>
      <c r="D914">
        <f>Riego!F52</f>
        <v>63517</v>
      </c>
      <c r="E914" t="str">
        <f>Riego!G52</f>
        <v>PP COMPRES FT TERMINAL C/REF HI 50X1 1/4</v>
      </c>
      <c r="F914">
        <f>Riego!H52</f>
        <v>1</v>
      </c>
      <c r="G914" t="str">
        <f>Riego!I52</f>
        <v>Bolsa</v>
      </c>
      <c r="H914">
        <f>IFERROR(IF(Riego!K52="",0,Riego!K52),0)</f>
        <v>0</v>
      </c>
      <c r="I914" s="58" t="str">
        <f>IF(H914&gt;0, MAX(I$1:I913)+1, "")</f>
        <v/>
      </c>
    </row>
    <row r="915" spans="1:9" x14ac:dyDescent="0.2">
      <c r="A915" t="s">
        <v>29</v>
      </c>
      <c r="B915" t="str">
        <f>Riego!A53</f>
        <v>Conducción Fluidos</v>
      </c>
      <c r="C915" t="str">
        <f>Riego!B53</f>
        <v>RIEGO Y DISTRIBUCIÓN HIDRÁULICA</v>
      </c>
      <c r="D915">
        <f>Riego!F53</f>
        <v>63518</v>
      </c>
      <c r="E915" t="str">
        <f>Riego!G53</f>
        <v>PP COMPRES FT TERMINAL C/REF HI 50X1 1/2</v>
      </c>
      <c r="F915">
        <f>Riego!H53</f>
        <v>1</v>
      </c>
      <c r="G915" t="str">
        <f>Riego!I53</f>
        <v>Bolsa</v>
      </c>
      <c r="H915">
        <f>IFERROR(IF(Riego!K53="",0,Riego!K53),0)</f>
        <v>0</v>
      </c>
      <c r="I915" s="58" t="str">
        <f>IF(H915&gt;0, MAX(I$1:I914)+1, "")</f>
        <v/>
      </c>
    </row>
    <row r="916" spans="1:9" x14ac:dyDescent="0.2">
      <c r="A916" t="s">
        <v>29</v>
      </c>
      <c r="B916" t="str">
        <f>Riego!A54</f>
        <v>Conducción Fluidos</v>
      </c>
      <c r="C916" t="str">
        <f>Riego!B54</f>
        <v>RIEGO Y DISTRIBUCIÓN HIDRÁULICA</v>
      </c>
      <c r="D916">
        <f>Riego!F54</f>
        <v>63519</v>
      </c>
      <c r="E916" t="str">
        <f>Riego!G54</f>
        <v>PP COMPRES FT TERMINAL C/REF HI 50X2</v>
      </c>
      <c r="F916">
        <f>Riego!H54</f>
        <v>1</v>
      </c>
      <c r="G916" t="str">
        <f>Riego!I54</f>
        <v>Bolsa</v>
      </c>
      <c r="H916">
        <f>IFERROR(IF(Riego!K54="",0,Riego!K54),0)</f>
        <v>0</v>
      </c>
      <c r="I916" s="58" t="str">
        <f>IF(H916&gt;0, MAX(I$1:I915)+1, "")</f>
        <v/>
      </c>
    </row>
    <row r="917" spans="1:9" x14ac:dyDescent="0.2">
      <c r="A917" t="s">
        <v>29</v>
      </c>
      <c r="B917" t="str">
        <f>Riego!A55</f>
        <v>Conducción Fluidos</v>
      </c>
      <c r="C917" t="str">
        <f>Riego!B55</f>
        <v>RIEGO Y DISTRIBUCIÓN HIDRÁULICA</v>
      </c>
      <c r="D917">
        <f>Riego!F55</f>
        <v>63520</v>
      </c>
      <c r="E917" t="str">
        <f>Riego!G55</f>
        <v>PP COMPRES FT TERMINAL C/REF HI 63X1 1/4</v>
      </c>
      <c r="F917">
        <f>Riego!H55</f>
        <v>1</v>
      </c>
      <c r="G917" t="str">
        <f>Riego!I55</f>
        <v>Bolsa</v>
      </c>
      <c r="H917">
        <f>IFERROR(IF(Riego!K55="",0,Riego!K55),0)</f>
        <v>0</v>
      </c>
      <c r="I917" s="58" t="str">
        <f>IF(H917&gt;0, MAX(I$1:I916)+1, "")</f>
        <v/>
      </c>
    </row>
    <row r="918" spans="1:9" x14ac:dyDescent="0.2">
      <c r="A918" t="s">
        <v>29</v>
      </c>
      <c r="B918" t="str">
        <f>Riego!A56</f>
        <v>Conducción Fluidos</v>
      </c>
      <c r="C918" t="str">
        <f>Riego!B56</f>
        <v>RIEGO Y DISTRIBUCIÓN HIDRÁULICA</v>
      </c>
      <c r="D918">
        <f>Riego!F56</f>
        <v>63521</v>
      </c>
      <c r="E918" t="str">
        <f>Riego!G56</f>
        <v>PP COMPRES FT TERMINAL C/REF HI 63X1 1/2</v>
      </c>
      <c r="F918">
        <f>Riego!H56</f>
        <v>1</v>
      </c>
      <c r="G918" t="str">
        <f>Riego!I56</f>
        <v>Bolsa</v>
      </c>
      <c r="H918">
        <f>IFERROR(IF(Riego!K56="",0,Riego!K56),0)</f>
        <v>0</v>
      </c>
      <c r="I918" s="58" t="str">
        <f>IF(H918&gt;0, MAX(I$1:I917)+1, "")</f>
        <v/>
      </c>
    </row>
    <row r="919" spans="1:9" x14ac:dyDescent="0.2">
      <c r="A919" t="s">
        <v>29</v>
      </c>
      <c r="B919" t="str">
        <f>Riego!A57</f>
        <v>Conducción Fluidos</v>
      </c>
      <c r="C919" t="str">
        <f>Riego!B57</f>
        <v>RIEGO Y DISTRIBUCIÓN HIDRÁULICA</v>
      </c>
      <c r="D919">
        <f>Riego!F57</f>
        <v>63522</v>
      </c>
      <c r="E919" t="str">
        <f>Riego!G57</f>
        <v>PP COMPRES FT TERMINAL C/REF HI 63X2</v>
      </c>
      <c r="F919">
        <f>Riego!H57</f>
        <v>1</v>
      </c>
      <c r="G919" t="str">
        <f>Riego!I57</f>
        <v>Bolsa</v>
      </c>
      <c r="H919">
        <f>IFERROR(IF(Riego!K57="",0,Riego!K57),0)</f>
        <v>0</v>
      </c>
      <c r="I919" s="58" t="str">
        <f>IF(H919&gt;0, MAX(I$1:I918)+1, "")</f>
        <v/>
      </c>
    </row>
    <row r="920" spans="1:9" x14ac:dyDescent="0.2">
      <c r="A920" t="s">
        <v>29</v>
      </c>
      <c r="B920" t="str">
        <f>Riego!A58</f>
        <v>Conducción Fluidos</v>
      </c>
      <c r="C920" t="str">
        <f>Riego!B58</f>
        <v>RIEGO Y DISTRIBUCIÓN HIDRÁULICA</v>
      </c>
      <c r="D920">
        <f>Riego!F58</f>
        <v>63501</v>
      </c>
      <c r="E920" t="str">
        <f>Riego!G58</f>
        <v>PP COMPRES FT TERMINAL HE 20X1/2</v>
      </c>
      <c r="F920">
        <f>Riego!H58</f>
        <v>30</v>
      </c>
      <c r="G920" t="str">
        <f>Riego!I58</f>
        <v>Bolsa</v>
      </c>
      <c r="H920">
        <f>IFERROR(IF(Riego!K58="",0,Riego!K58),0)</f>
        <v>0</v>
      </c>
      <c r="I920" s="58" t="str">
        <f>IF(H920&gt;0, MAX(I$1:I919)+1, "")</f>
        <v/>
      </c>
    </row>
    <row r="921" spans="1:9" x14ac:dyDescent="0.2">
      <c r="A921" t="s">
        <v>29</v>
      </c>
      <c r="B921" t="str">
        <f>Riego!A59</f>
        <v>Conducción Fluidos</v>
      </c>
      <c r="C921" t="str">
        <f>Riego!B59</f>
        <v>RIEGO Y DISTRIBUCIÓN HIDRÁULICA</v>
      </c>
      <c r="D921">
        <f>Riego!F59</f>
        <v>63530</v>
      </c>
      <c r="E921" t="str">
        <f>Riego!G59</f>
        <v>PP COMPRES FT TERMINAL HE 20X3/4</v>
      </c>
      <c r="F921">
        <f>Riego!H59</f>
        <v>30</v>
      </c>
      <c r="G921" t="str">
        <f>Riego!I59</f>
        <v>Bolsa</v>
      </c>
      <c r="H921">
        <f>IFERROR(IF(Riego!K59="",0,Riego!K59),0)</f>
        <v>0</v>
      </c>
      <c r="I921" s="58" t="str">
        <f>IF(H921&gt;0, MAX(I$1:I920)+1, "")</f>
        <v/>
      </c>
    </row>
    <row r="922" spans="1:9" x14ac:dyDescent="0.2">
      <c r="A922" t="s">
        <v>29</v>
      </c>
      <c r="B922" t="str">
        <f>Riego!A60</f>
        <v>Conducción Fluidos</v>
      </c>
      <c r="C922" t="str">
        <f>Riego!B60</f>
        <v>RIEGO Y DISTRIBUCIÓN HIDRÁULICA</v>
      </c>
      <c r="D922">
        <f>Riego!F60</f>
        <v>63531</v>
      </c>
      <c r="E922" t="str">
        <f>Riego!G60</f>
        <v>PP COMPRES FT TERMINAL HE 20X1</v>
      </c>
      <c r="F922">
        <f>Riego!H60</f>
        <v>30</v>
      </c>
      <c r="G922" t="str">
        <f>Riego!I60</f>
        <v>Bolsa</v>
      </c>
      <c r="H922">
        <f>IFERROR(IF(Riego!K60="",0,Riego!K60),0)</f>
        <v>0</v>
      </c>
      <c r="I922" s="58" t="str">
        <f>IF(H922&gt;0, MAX(I$1:I921)+1, "")</f>
        <v/>
      </c>
    </row>
    <row r="923" spans="1:9" x14ac:dyDescent="0.2">
      <c r="A923" t="s">
        <v>29</v>
      </c>
      <c r="B923" t="str">
        <f>Riego!A61</f>
        <v>Conducción Fluidos</v>
      </c>
      <c r="C923" t="str">
        <f>Riego!B61</f>
        <v>RIEGO Y DISTRIBUCIÓN HIDRÁULICA</v>
      </c>
      <c r="D923">
        <f>Riego!F61</f>
        <v>63532</v>
      </c>
      <c r="E923" t="str">
        <f>Riego!G61</f>
        <v>PP COMPRES FT TERMINAL HE 25X1/2</v>
      </c>
      <c r="F923">
        <f>Riego!H61</f>
        <v>20</v>
      </c>
      <c r="G923" t="str">
        <f>Riego!I61</f>
        <v>Bolsa</v>
      </c>
      <c r="H923">
        <f>IFERROR(IF(Riego!K61="",0,Riego!K61),0)</f>
        <v>0</v>
      </c>
      <c r="I923" s="58" t="str">
        <f>IF(H923&gt;0, MAX(I$1:I922)+1, "")</f>
        <v/>
      </c>
    </row>
    <row r="924" spans="1:9" x14ac:dyDescent="0.2">
      <c r="A924" t="s">
        <v>29</v>
      </c>
      <c r="B924" t="str">
        <f>Riego!A62</f>
        <v>Conducción Fluidos</v>
      </c>
      <c r="C924" t="str">
        <f>Riego!B62</f>
        <v>RIEGO Y DISTRIBUCIÓN HIDRÁULICA</v>
      </c>
      <c r="D924">
        <f>Riego!F62</f>
        <v>63502</v>
      </c>
      <c r="E924" t="str">
        <f>Riego!G62</f>
        <v>PP COMPRES FT TERMINAL HE 25X3/4</v>
      </c>
      <c r="F924">
        <f>Riego!H62</f>
        <v>20</v>
      </c>
      <c r="G924" t="str">
        <f>Riego!I62</f>
        <v>Bolsa</v>
      </c>
      <c r="H924">
        <f>IFERROR(IF(Riego!K62="",0,Riego!K62),0)</f>
        <v>0</v>
      </c>
      <c r="I924" s="58" t="str">
        <f>IF(H924&gt;0, MAX(I$1:I923)+1, "")</f>
        <v/>
      </c>
    </row>
    <row r="925" spans="1:9" x14ac:dyDescent="0.2">
      <c r="A925" t="s">
        <v>29</v>
      </c>
      <c r="B925" t="str">
        <f>Riego!A63</f>
        <v>Conducción Fluidos</v>
      </c>
      <c r="C925" t="str">
        <f>Riego!B63</f>
        <v>RIEGO Y DISTRIBUCIÓN HIDRÁULICA</v>
      </c>
      <c r="D925">
        <f>Riego!F63</f>
        <v>63533</v>
      </c>
      <c r="E925" t="str">
        <f>Riego!G63</f>
        <v>PP COMPRES FT TERMINAL HE 25X1</v>
      </c>
      <c r="F925">
        <f>Riego!H63</f>
        <v>20</v>
      </c>
      <c r="G925" t="str">
        <f>Riego!I63</f>
        <v>Bolsa</v>
      </c>
      <c r="H925">
        <f>IFERROR(IF(Riego!K63="",0,Riego!K63),0)</f>
        <v>0</v>
      </c>
      <c r="I925" s="58" t="str">
        <f>IF(H925&gt;0, MAX(I$1:I924)+1, "")</f>
        <v/>
      </c>
    </row>
    <row r="926" spans="1:9" x14ac:dyDescent="0.2">
      <c r="A926" t="s">
        <v>29</v>
      </c>
      <c r="B926" t="str">
        <f>Riego!A64</f>
        <v>Conducción Fluidos</v>
      </c>
      <c r="C926" t="str">
        <f>Riego!B64</f>
        <v>RIEGO Y DISTRIBUCIÓN HIDRÁULICA</v>
      </c>
      <c r="D926">
        <f>Riego!F64</f>
        <v>63534</v>
      </c>
      <c r="E926" t="str">
        <f>Riego!G64</f>
        <v>PP COMPRES FT TERMINAL HE 32X1/2</v>
      </c>
      <c r="F926">
        <f>Riego!H64</f>
        <v>10</v>
      </c>
      <c r="G926" t="str">
        <f>Riego!I64</f>
        <v>Bolsa</v>
      </c>
      <c r="H926">
        <f>IFERROR(IF(Riego!K64="",0,Riego!K64),0)</f>
        <v>0</v>
      </c>
      <c r="I926" s="58" t="str">
        <f>IF(H926&gt;0, MAX(I$1:I925)+1, "")</f>
        <v/>
      </c>
    </row>
    <row r="927" spans="1:9" x14ac:dyDescent="0.2">
      <c r="A927" t="s">
        <v>29</v>
      </c>
      <c r="B927" t="str">
        <f>Riego!A65</f>
        <v>Conducción Fluidos</v>
      </c>
      <c r="C927" t="str">
        <f>Riego!B65</f>
        <v>RIEGO Y DISTRIBUCIÓN HIDRÁULICA</v>
      </c>
      <c r="D927">
        <f>Riego!F65</f>
        <v>63535</v>
      </c>
      <c r="E927" t="str">
        <f>Riego!G65</f>
        <v>PP COMPRES FT TERMINAL HE 32X3/4</v>
      </c>
      <c r="F927">
        <f>Riego!H65</f>
        <v>10</v>
      </c>
      <c r="G927" t="str">
        <f>Riego!I65</f>
        <v>Bolsa</v>
      </c>
      <c r="H927">
        <f>IFERROR(IF(Riego!K65="",0,Riego!K65),0)</f>
        <v>0</v>
      </c>
      <c r="I927" s="58" t="str">
        <f>IF(H927&gt;0, MAX(I$1:I926)+1, "")</f>
        <v/>
      </c>
    </row>
    <row r="928" spans="1:9" x14ac:dyDescent="0.2">
      <c r="A928" t="s">
        <v>29</v>
      </c>
      <c r="B928" t="str">
        <f>Riego!A66</f>
        <v>Conducción Fluidos</v>
      </c>
      <c r="C928" t="str">
        <f>Riego!B66</f>
        <v>RIEGO Y DISTRIBUCIÓN HIDRÁULICA</v>
      </c>
      <c r="D928">
        <f>Riego!F66</f>
        <v>63536</v>
      </c>
      <c r="E928" t="str">
        <f>Riego!G66</f>
        <v>PP COMPRES FT TERMINAL HE 32X1</v>
      </c>
      <c r="F928">
        <f>Riego!H66</f>
        <v>10</v>
      </c>
      <c r="G928" t="str">
        <f>Riego!I66</f>
        <v>Bolsa</v>
      </c>
      <c r="H928">
        <f>IFERROR(IF(Riego!K66="",0,Riego!K66),0)</f>
        <v>0</v>
      </c>
      <c r="I928" s="58" t="str">
        <f>IF(H928&gt;0, MAX(I$1:I927)+1, "")</f>
        <v/>
      </c>
    </row>
    <row r="929" spans="1:9" x14ac:dyDescent="0.2">
      <c r="A929" t="s">
        <v>29</v>
      </c>
      <c r="B929" t="str">
        <f>Riego!A67</f>
        <v>Conducción Fluidos</v>
      </c>
      <c r="C929" t="str">
        <f>Riego!B67</f>
        <v>RIEGO Y DISTRIBUCIÓN HIDRÁULICA</v>
      </c>
      <c r="D929">
        <f>Riego!F67</f>
        <v>63537</v>
      </c>
      <c r="E929" t="str">
        <f>Riego!G67</f>
        <v>PP COMPRES FT TERMINAL HE 32X1 1/4</v>
      </c>
      <c r="F929">
        <f>Riego!H67</f>
        <v>10</v>
      </c>
      <c r="G929" t="str">
        <f>Riego!I67</f>
        <v>Bolsa</v>
      </c>
      <c r="H929">
        <f>IFERROR(IF(Riego!K67="",0,Riego!K67),0)</f>
        <v>0</v>
      </c>
      <c r="I929" s="58" t="str">
        <f>IF(H929&gt;0, MAX(I$1:I928)+1, "")</f>
        <v/>
      </c>
    </row>
    <row r="930" spans="1:9" x14ac:dyDescent="0.2">
      <c r="A930" t="s">
        <v>29</v>
      </c>
      <c r="B930" t="str">
        <f>Riego!A68</f>
        <v>Conducción Fluidos</v>
      </c>
      <c r="C930" t="str">
        <f>Riego!B68</f>
        <v>RIEGO Y DISTRIBUCIÓN HIDRÁULICA</v>
      </c>
      <c r="D930">
        <f>Riego!F68</f>
        <v>63538</v>
      </c>
      <c r="E930" t="str">
        <f>Riego!G68</f>
        <v>PP COMPRES FT TERMINAL HE 40X1</v>
      </c>
      <c r="F930">
        <f>Riego!H68</f>
        <v>6</v>
      </c>
      <c r="G930" t="str">
        <f>Riego!I68</f>
        <v>Bolsa</v>
      </c>
      <c r="H930">
        <f>IFERROR(IF(Riego!K68="",0,Riego!K68),0)</f>
        <v>0</v>
      </c>
      <c r="I930" s="58" t="str">
        <f>IF(H930&gt;0, MAX(I$1:I929)+1, "")</f>
        <v/>
      </c>
    </row>
    <row r="931" spans="1:9" x14ac:dyDescent="0.2">
      <c r="A931" t="s">
        <v>29</v>
      </c>
      <c r="B931" t="str">
        <f>Riego!A69</f>
        <v>Conducción Fluidos</v>
      </c>
      <c r="C931" t="str">
        <f>Riego!B69</f>
        <v>RIEGO Y DISTRIBUCIÓN HIDRÁULICA</v>
      </c>
      <c r="D931">
        <f>Riego!F69</f>
        <v>63539</v>
      </c>
      <c r="E931" t="str">
        <f>Riego!G69</f>
        <v>PP COMPRES FT TERMINAL HE 40X1 1/4</v>
      </c>
      <c r="F931">
        <f>Riego!H69</f>
        <v>6</v>
      </c>
      <c r="G931" t="str">
        <f>Riego!I69</f>
        <v>Bolsa</v>
      </c>
      <c r="H931">
        <f>IFERROR(IF(Riego!K69="",0,Riego!K69),0)</f>
        <v>0</v>
      </c>
      <c r="I931" s="58" t="str">
        <f>IF(H931&gt;0, MAX(I$1:I930)+1, "")</f>
        <v/>
      </c>
    </row>
    <row r="932" spans="1:9" x14ac:dyDescent="0.2">
      <c r="A932" t="s">
        <v>29</v>
      </c>
      <c r="B932" t="str">
        <f>Riego!A70</f>
        <v>Conducción Fluidos</v>
      </c>
      <c r="C932" t="str">
        <f>Riego!B70</f>
        <v>RIEGO Y DISTRIBUCIÓN HIDRÁULICA</v>
      </c>
      <c r="D932">
        <f>Riego!F70</f>
        <v>63540</v>
      </c>
      <c r="E932" t="str">
        <f>Riego!G70</f>
        <v>PP COMPRES FT TERMINAL HE 40X1 1/2</v>
      </c>
      <c r="F932">
        <f>Riego!H70</f>
        <v>6</v>
      </c>
      <c r="G932" t="str">
        <f>Riego!I70</f>
        <v>Bolsa</v>
      </c>
      <c r="H932">
        <f>IFERROR(IF(Riego!K70="",0,Riego!K70),0)</f>
        <v>0</v>
      </c>
      <c r="I932" s="58" t="str">
        <f>IF(H932&gt;0, MAX(I$1:I931)+1, "")</f>
        <v/>
      </c>
    </row>
    <row r="933" spans="1:9" x14ac:dyDescent="0.2">
      <c r="A933" t="s">
        <v>29</v>
      </c>
      <c r="B933" t="str">
        <f>Riego!A71</f>
        <v>Conducción Fluidos</v>
      </c>
      <c r="C933" t="str">
        <f>Riego!B71</f>
        <v>RIEGO Y DISTRIBUCIÓN HIDRÁULICA</v>
      </c>
      <c r="D933">
        <f>Riego!F71</f>
        <v>63541</v>
      </c>
      <c r="E933" t="str">
        <f>Riego!G71</f>
        <v>PP COMPRES FT TERMINAL HE 50X1</v>
      </c>
      <c r="F933">
        <f>Riego!H71</f>
        <v>1</v>
      </c>
      <c r="G933" t="str">
        <f>Riego!I71</f>
        <v>Bolsa</v>
      </c>
      <c r="H933">
        <f>IFERROR(IF(Riego!K71="",0,Riego!K71),0)</f>
        <v>0</v>
      </c>
      <c r="I933" s="58" t="str">
        <f>IF(H933&gt;0, MAX(I$1:I932)+1, "")</f>
        <v/>
      </c>
    </row>
    <row r="934" spans="1:9" x14ac:dyDescent="0.2">
      <c r="A934" t="s">
        <v>29</v>
      </c>
      <c r="B934" t="str">
        <f>Riego!A72</f>
        <v>Conducción Fluidos</v>
      </c>
      <c r="C934" t="str">
        <f>Riego!B72</f>
        <v>RIEGO Y DISTRIBUCIÓN HIDRÁULICA</v>
      </c>
      <c r="D934">
        <f>Riego!F72</f>
        <v>63542</v>
      </c>
      <c r="E934" t="str">
        <f>Riego!G72</f>
        <v>PP COMPRES FT TERMINAL HE 50X1 1/4</v>
      </c>
      <c r="F934">
        <f>Riego!H72</f>
        <v>1</v>
      </c>
      <c r="G934" t="str">
        <f>Riego!I72</f>
        <v>Bolsa</v>
      </c>
      <c r="H934">
        <f>IFERROR(IF(Riego!K72="",0,Riego!K72),0)</f>
        <v>0</v>
      </c>
      <c r="I934" s="58" t="str">
        <f>IF(H934&gt;0, MAX(I$1:I933)+1, "")</f>
        <v/>
      </c>
    </row>
    <row r="935" spans="1:9" x14ac:dyDescent="0.2">
      <c r="A935" t="s">
        <v>29</v>
      </c>
      <c r="B935" t="str">
        <f>Riego!A73</f>
        <v>Conducción Fluidos</v>
      </c>
      <c r="C935" t="str">
        <f>Riego!B73</f>
        <v>RIEGO Y DISTRIBUCIÓN HIDRÁULICA</v>
      </c>
      <c r="D935">
        <f>Riego!F73</f>
        <v>63543</v>
      </c>
      <c r="E935" t="str">
        <f>Riego!G73</f>
        <v>PP COMPRES FT TERMINAL HE 50X1 1/2</v>
      </c>
      <c r="F935">
        <f>Riego!H73</f>
        <v>1</v>
      </c>
      <c r="G935" t="str">
        <f>Riego!I73</f>
        <v>Bolsa</v>
      </c>
      <c r="H935">
        <f>IFERROR(IF(Riego!K73="",0,Riego!K73),0)</f>
        <v>0</v>
      </c>
      <c r="I935" s="58" t="str">
        <f>IF(H935&gt;0, MAX(I$1:I934)+1, "")</f>
        <v/>
      </c>
    </row>
    <row r="936" spans="1:9" x14ac:dyDescent="0.2">
      <c r="A936" t="s">
        <v>29</v>
      </c>
      <c r="B936" t="str">
        <f>Riego!A74</f>
        <v>Conducción Fluidos</v>
      </c>
      <c r="C936" t="str">
        <f>Riego!B74</f>
        <v>RIEGO Y DISTRIBUCIÓN HIDRÁULICA</v>
      </c>
      <c r="D936">
        <f>Riego!F74</f>
        <v>63544</v>
      </c>
      <c r="E936" t="str">
        <f>Riego!G74</f>
        <v>PP COMPRES FT TERMINAL HE 50X2</v>
      </c>
      <c r="F936">
        <f>Riego!H74</f>
        <v>1</v>
      </c>
      <c r="G936" t="str">
        <f>Riego!I74</f>
        <v>Bolsa</v>
      </c>
      <c r="H936">
        <f>IFERROR(IF(Riego!K74="",0,Riego!K74),0)</f>
        <v>0</v>
      </c>
      <c r="I936" s="58" t="str">
        <f>IF(H936&gt;0, MAX(I$1:I935)+1, "")</f>
        <v/>
      </c>
    </row>
    <row r="937" spans="1:9" x14ac:dyDescent="0.2">
      <c r="A937" t="s">
        <v>29</v>
      </c>
      <c r="B937" t="str">
        <f>Riego!A75</f>
        <v>Conducción Fluidos</v>
      </c>
      <c r="C937" t="str">
        <f>Riego!B75</f>
        <v>RIEGO Y DISTRIBUCIÓN HIDRÁULICA</v>
      </c>
      <c r="D937">
        <f>Riego!F75</f>
        <v>63545</v>
      </c>
      <c r="E937" t="str">
        <f>Riego!G75</f>
        <v>PP COMPRES FT TERMINAL HE 63X1 1/4</v>
      </c>
      <c r="F937">
        <f>Riego!H75</f>
        <v>1</v>
      </c>
      <c r="G937" t="str">
        <f>Riego!I75</f>
        <v>Bolsa</v>
      </c>
      <c r="H937">
        <f>IFERROR(IF(Riego!K75="",0,Riego!K75),0)</f>
        <v>0</v>
      </c>
      <c r="I937" s="58" t="str">
        <f>IF(H937&gt;0, MAX(I$1:I936)+1, "")</f>
        <v/>
      </c>
    </row>
    <row r="938" spans="1:9" x14ac:dyDescent="0.2">
      <c r="A938" t="s">
        <v>29</v>
      </c>
      <c r="B938" t="str">
        <f>Riego!A76</f>
        <v>Conducción Fluidos</v>
      </c>
      <c r="C938" t="str">
        <f>Riego!B76</f>
        <v>RIEGO Y DISTRIBUCIÓN HIDRÁULICA</v>
      </c>
      <c r="D938">
        <f>Riego!F76</f>
        <v>63546</v>
      </c>
      <c r="E938" t="str">
        <f>Riego!G76</f>
        <v>PP COMPRES FT TERMINAL HE 63X1 1/2</v>
      </c>
      <c r="F938">
        <f>Riego!H76</f>
        <v>1</v>
      </c>
      <c r="G938" t="str">
        <f>Riego!I76</f>
        <v>Bolsa</v>
      </c>
      <c r="H938">
        <f>IFERROR(IF(Riego!K76="",0,Riego!K76),0)</f>
        <v>0</v>
      </c>
      <c r="I938" s="58" t="str">
        <f>IF(H938&gt;0, MAX(I$1:I937)+1, "")</f>
        <v/>
      </c>
    </row>
    <row r="939" spans="1:9" x14ac:dyDescent="0.2">
      <c r="A939" t="s">
        <v>29</v>
      </c>
      <c r="B939" t="str">
        <f>Riego!A77</f>
        <v>Conducción Fluidos</v>
      </c>
      <c r="C939" t="str">
        <f>Riego!B77</f>
        <v>RIEGO Y DISTRIBUCIÓN HIDRÁULICA</v>
      </c>
      <c r="D939">
        <f>Riego!F77</f>
        <v>63547</v>
      </c>
      <c r="E939" t="str">
        <f>Riego!G77</f>
        <v>PP COMPRES FT TERMINAL HE 63X2</v>
      </c>
      <c r="F939">
        <f>Riego!H77</f>
        <v>1</v>
      </c>
      <c r="G939" t="str">
        <f>Riego!I77</f>
        <v>Bolsa</v>
      </c>
      <c r="H939">
        <f>IFERROR(IF(Riego!K77="",0,Riego!K77),0)</f>
        <v>0</v>
      </c>
      <c r="I939" s="58" t="str">
        <f>IF(H939&gt;0, MAX(I$1:I938)+1, "")</f>
        <v/>
      </c>
    </row>
    <row r="940" spans="1:9" x14ac:dyDescent="0.2">
      <c r="A940" t="s">
        <v>29</v>
      </c>
      <c r="B940" t="str">
        <f>Riego!A78</f>
        <v>Conducción Fluidos</v>
      </c>
      <c r="C940" t="str">
        <f>Riego!B78</f>
        <v>RIEGO Y DISTRIBUCIÓN HIDRÁULICA</v>
      </c>
      <c r="D940">
        <f>Riego!F78</f>
        <v>63548</v>
      </c>
      <c r="E940" t="str">
        <f>Riego!G78</f>
        <v>PP COMPRES FT TERMINAL HE 63X2 1/2</v>
      </c>
      <c r="F940">
        <f>Riego!H78</f>
        <v>1</v>
      </c>
      <c r="G940" t="str">
        <f>Riego!I78</f>
        <v>Bolsa</v>
      </c>
      <c r="H940">
        <f>IFERROR(IF(Riego!K78="",0,Riego!K78),0)</f>
        <v>0</v>
      </c>
      <c r="I940" s="58" t="str">
        <f>IF(H940&gt;0, MAX(I$1:I939)+1, "")</f>
        <v/>
      </c>
    </row>
    <row r="941" spans="1:9" x14ac:dyDescent="0.2">
      <c r="A941" t="s">
        <v>29</v>
      </c>
      <c r="B941" t="str">
        <f>Riego!A79</f>
        <v>Conducción Fluidos</v>
      </c>
      <c r="C941" t="str">
        <f>Riego!B79</f>
        <v>RIEGO Y DISTRIBUCIÓN HIDRÁULICA</v>
      </c>
      <c r="D941">
        <f>Riego!F79</f>
        <v>63560</v>
      </c>
      <c r="E941" t="str">
        <f>Riego!G79</f>
        <v>PP COMPRES FT TAPON 20</v>
      </c>
      <c r="F941">
        <f>Riego!H79</f>
        <v>30</v>
      </c>
      <c r="G941" t="str">
        <f>Riego!I79</f>
        <v>Bolsa</v>
      </c>
      <c r="H941">
        <f>IFERROR(IF(Riego!K79="",0,Riego!K79),0)</f>
        <v>0</v>
      </c>
      <c r="I941" s="58" t="str">
        <f>IF(H941&gt;0, MAX(I$1:I940)+1, "")</f>
        <v/>
      </c>
    </row>
    <row r="942" spans="1:9" x14ac:dyDescent="0.2">
      <c r="A942" t="s">
        <v>29</v>
      </c>
      <c r="B942" t="str">
        <f>Riego!A80</f>
        <v>Conducción Fluidos</v>
      </c>
      <c r="C942" t="str">
        <f>Riego!B80</f>
        <v>RIEGO Y DISTRIBUCIÓN HIDRÁULICA</v>
      </c>
      <c r="D942">
        <f>Riego!F80</f>
        <v>63561</v>
      </c>
      <c r="E942" t="str">
        <f>Riego!G80</f>
        <v>PP COMPRES FT TAPON 25</v>
      </c>
      <c r="F942">
        <f>Riego!H80</f>
        <v>20</v>
      </c>
      <c r="G942" t="str">
        <f>Riego!I80</f>
        <v>Bolsa</v>
      </c>
      <c r="H942">
        <f>IFERROR(IF(Riego!K80="",0,Riego!K80),0)</f>
        <v>0</v>
      </c>
      <c r="I942" s="58" t="str">
        <f>IF(H942&gt;0, MAX(I$1:I941)+1, "")</f>
        <v/>
      </c>
    </row>
    <row r="943" spans="1:9" x14ac:dyDescent="0.2">
      <c r="A943" t="s">
        <v>29</v>
      </c>
      <c r="B943" t="str">
        <f>Riego!A81</f>
        <v>Conducción Fluidos</v>
      </c>
      <c r="C943" t="str">
        <f>Riego!B81</f>
        <v>RIEGO Y DISTRIBUCIÓN HIDRÁULICA</v>
      </c>
      <c r="D943">
        <f>Riego!F81</f>
        <v>63562</v>
      </c>
      <c r="E943" t="str">
        <f>Riego!G81</f>
        <v>PP COMPRES FT TAPON 32</v>
      </c>
      <c r="F943">
        <f>Riego!H81</f>
        <v>10</v>
      </c>
      <c r="G943" t="str">
        <f>Riego!I81</f>
        <v>Bolsa</v>
      </c>
      <c r="H943">
        <f>IFERROR(IF(Riego!K81="",0,Riego!K81),0)</f>
        <v>0</v>
      </c>
      <c r="I943" s="58" t="str">
        <f>IF(H943&gt;0, MAX(I$1:I942)+1, "")</f>
        <v/>
      </c>
    </row>
    <row r="944" spans="1:9" x14ac:dyDescent="0.2">
      <c r="A944" t="s">
        <v>29</v>
      </c>
      <c r="B944" t="str">
        <f>Riego!A82</f>
        <v>Conducción Fluidos</v>
      </c>
      <c r="C944" t="str">
        <f>Riego!B82</f>
        <v>RIEGO Y DISTRIBUCIÓN HIDRÁULICA</v>
      </c>
      <c r="D944">
        <f>Riego!F82</f>
        <v>63563</v>
      </c>
      <c r="E944" t="str">
        <f>Riego!G82</f>
        <v>PP COMPRES FT TAPON 40</v>
      </c>
      <c r="F944">
        <f>Riego!H82</f>
        <v>8</v>
      </c>
      <c r="G944" t="str">
        <f>Riego!I82</f>
        <v>Bolsa</v>
      </c>
      <c r="H944">
        <f>IFERROR(IF(Riego!K82="",0,Riego!K82),0)</f>
        <v>0</v>
      </c>
      <c r="I944" s="58" t="str">
        <f>IF(H944&gt;0, MAX(I$1:I943)+1, "")</f>
        <v/>
      </c>
    </row>
    <row r="945" spans="1:9" x14ac:dyDescent="0.2">
      <c r="A945" t="s">
        <v>29</v>
      </c>
      <c r="B945" t="str">
        <f>Riego!A83</f>
        <v>Conducción Fluidos</v>
      </c>
      <c r="C945" t="str">
        <f>Riego!B83</f>
        <v>RIEGO Y DISTRIBUCIÓN HIDRÁULICA</v>
      </c>
      <c r="D945">
        <f>Riego!F83</f>
        <v>63564</v>
      </c>
      <c r="E945" t="str">
        <f>Riego!G83</f>
        <v>PP COMPRES FT TAPON 50</v>
      </c>
      <c r="F945">
        <f>Riego!H83</f>
        <v>1</v>
      </c>
      <c r="G945" t="str">
        <f>Riego!I83</f>
        <v>Bolsa</v>
      </c>
      <c r="H945">
        <f>IFERROR(IF(Riego!K83="",0,Riego!K83),0)</f>
        <v>0</v>
      </c>
      <c r="I945" s="58" t="str">
        <f>IF(H945&gt;0, MAX(I$1:I944)+1, "")</f>
        <v/>
      </c>
    </row>
    <row r="946" spans="1:9" x14ac:dyDescent="0.2">
      <c r="A946" t="s">
        <v>29</v>
      </c>
      <c r="B946" t="str">
        <f>Riego!A84</f>
        <v>Conducción Fluidos</v>
      </c>
      <c r="C946" t="str">
        <f>Riego!B84</f>
        <v>RIEGO Y DISTRIBUCIÓN HIDRÁULICA</v>
      </c>
      <c r="D946">
        <f>Riego!F84</f>
        <v>63565</v>
      </c>
      <c r="E946" t="str">
        <f>Riego!G84</f>
        <v>PP COMPRES FT TAPON 63</v>
      </c>
      <c r="F946">
        <f>Riego!H84</f>
        <v>1</v>
      </c>
      <c r="G946" t="str">
        <f>Riego!I84</f>
        <v>Bolsa</v>
      </c>
      <c r="H946">
        <f>IFERROR(IF(Riego!K84="",0,Riego!K84),0)</f>
        <v>0</v>
      </c>
      <c r="I946" s="58" t="str">
        <f>IF(H946&gt;0, MAX(I$1:I945)+1, "")</f>
        <v/>
      </c>
    </row>
    <row r="947" spans="1:9" x14ac:dyDescent="0.2">
      <c r="A947" t="s">
        <v>29</v>
      </c>
      <c r="B947" t="str">
        <f>Riego!A85</f>
        <v>Conducción Fluidos</v>
      </c>
      <c r="C947" t="str">
        <f>Riego!B85</f>
        <v>RIEGO Y DISTRIBUCIÓN HIDRÁULICA</v>
      </c>
      <c r="D947">
        <f>Riego!F85</f>
        <v>63570</v>
      </c>
      <c r="E947" t="str">
        <f>Riego!G85</f>
        <v>PP COMPRES FT TEE 20</v>
      </c>
      <c r="F947">
        <f>Riego!H85</f>
        <v>10</v>
      </c>
      <c r="G947" t="str">
        <f>Riego!I85</f>
        <v>Bolsa</v>
      </c>
      <c r="H947">
        <f>IFERROR(IF(Riego!K85="",0,Riego!K85),0)</f>
        <v>0</v>
      </c>
      <c r="I947" s="58" t="str">
        <f>IF(H947&gt;0, MAX(I$1:I946)+1, "")</f>
        <v/>
      </c>
    </row>
    <row r="948" spans="1:9" x14ac:dyDescent="0.2">
      <c r="A948" t="s">
        <v>29</v>
      </c>
      <c r="B948" t="str">
        <f>Riego!A86</f>
        <v>Conducción Fluidos</v>
      </c>
      <c r="C948" t="str">
        <f>Riego!B86</f>
        <v>RIEGO Y DISTRIBUCIÓN HIDRÁULICA</v>
      </c>
      <c r="D948">
        <f>Riego!F86</f>
        <v>63571</v>
      </c>
      <c r="E948" t="str">
        <f>Riego!G86</f>
        <v>PP COMPRES FT TEE 25</v>
      </c>
      <c r="F948">
        <f>Riego!H86</f>
        <v>6</v>
      </c>
      <c r="G948" t="str">
        <f>Riego!I86</f>
        <v>Bolsa</v>
      </c>
      <c r="H948">
        <f>IFERROR(IF(Riego!K86="",0,Riego!K86),0)</f>
        <v>0</v>
      </c>
      <c r="I948" s="58" t="str">
        <f>IF(H948&gt;0, MAX(I$1:I947)+1, "")</f>
        <v/>
      </c>
    </row>
    <row r="949" spans="1:9" x14ac:dyDescent="0.2">
      <c r="A949" t="s">
        <v>29</v>
      </c>
      <c r="B949" t="str">
        <f>Riego!A87</f>
        <v>Conducción Fluidos</v>
      </c>
      <c r="C949" t="str">
        <f>Riego!B87</f>
        <v>RIEGO Y DISTRIBUCIÓN HIDRÁULICA</v>
      </c>
      <c r="D949">
        <f>Riego!F87</f>
        <v>63572</v>
      </c>
      <c r="E949" t="str">
        <f>Riego!G87</f>
        <v>PP COMPRES FT TEE 32</v>
      </c>
      <c r="F949">
        <f>Riego!H87</f>
        <v>4</v>
      </c>
      <c r="G949" t="str">
        <f>Riego!I87</f>
        <v>Bolsa</v>
      </c>
      <c r="H949">
        <f>IFERROR(IF(Riego!K87="",0,Riego!K87),0)</f>
        <v>0</v>
      </c>
      <c r="I949" s="58" t="str">
        <f>IF(H949&gt;0, MAX(I$1:I948)+1, "")</f>
        <v/>
      </c>
    </row>
    <row r="950" spans="1:9" x14ac:dyDescent="0.2">
      <c r="A950" t="s">
        <v>29</v>
      </c>
      <c r="B950" t="str">
        <f>Riego!A88</f>
        <v>Conducción Fluidos</v>
      </c>
      <c r="C950" t="str">
        <f>Riego!B88</f>
        <v>RIEGO Y DISTRIBUCIÓN HIDRÁULICA</v>
      </c>
      <c r="D950">
        <f>Riego!F88</f>
        <v>63573</v>
      </c>
      <c r="E950" t="str">
        <f>Riego!G88</f>
        <v>PP COMPRES FT TEE 40</v>
      </c>
      <c r="F950">
        <f>Riego!H88</f>
        <v>2</v>
      </c>
      <c r="G950" t="str">
        <f>Riego!I88</f>
        <v>Bolsa</v>
      </c>
      <c r="H950">
        <f>IFERROR(IF(Riego!K88="",0,Riego!K88),0)</f>
        <v>0</v>
      </c>
      <c r="I950" s="58" t="str">
        <f>IF(H950&gt;0, MAX(I$1:I949)+1, "")</f>
        <v/>
      </c>
    </row>
    <row r="951" spans="1:9" x14ac:dyDescent="0.2">
      <c r="A951" t="s">
        <v>29</v>
      </c>
      <c r="B951" t="str">
        <f>Riego!A89</f>
        <v>Conducción Fluidos</v>
      </c>
      <c r="C951" t="str">
        <f>Riego!B89</f>
        <v>RIEGO Y DISTRIBUCIÓN HIDRÁULICA</v>
      </c>
      <c r="D951">
        <f>Riego!F89</f>
        <v>63574</v>
      </c>
      <c r="E951" t="str">
        <f>Riego!G89</f>
        <v>PP COMPRES FT TEE 50</v>
      </c>
      <c r="F951">
        <f>Riego!H89</f>
        <v>1</v>
      </c>
      <c r="G951" t="str">
        <f>Riego!I89</f>
        <v>Bolsa</v>
      </c>
      <c r="H951">
        <f>IFERROR(IF(Riego!K89="",0,Riego!K89),0)</f>
        <v>0</v>
      </c>
      <c r="I951" s="58" t="str">
        <f>IF(H951&gt;0, MAX(I$1:I950)+1, "")</f>
        <v/>
      </c>
    </row>
    <row r="952" spans="1:9" x14ac:dyDescent="0.2">
      <c r="A952" t="s">
        <v>29</v>
      </c>
      <c r="B952" t="str">
        <f>Riego!A90</f>
        <v>Conducción Fluidos</v>
      </c>
      <c r="C952" t="str">
        <f>Riego!B90</f>
        <v>RIEGO Y DISTRIBUCIÓN HIDRÁULICA</v>
      </c>
      <c r="D952">
        <f>Riego!F90</f>
        <v>63575</v>
      </c>
      <c r="E952" t="str">
        <f>Riego!G90</f>
        <v>PP COMPRES FT TEE 63</v>
      </c>
      <c r="F952">
        <f>Riego!H90</f>
        <v>1</v>
      </c>
      <c r="G952" t="str">
        <f>Riego!I90</f>
        <v>Bolsa</v>
      </c>
      <c r="H952">
        <f>IFERROR(IF(Riego!K90="",0,Riego!K90),0)</f>
        <v>0</v>
      </c>
      <c r="I952" s="58" t="str">
        <f>IF(H952&gt;0, MAX(I$1:I951)+1, "")</f>
        <v/>
      </c>
    </row>
    <row r="953" spans="1:9" x14ac:dyDescent="0.2">
      <c r="A953" t="s">
        <v>29</v>
      </c>
      <c r="B953" t="str">
        <f>Riego!A91</f>
        <v>Conducción Fluidos</v>
      </c>
      <c r="C953" t="str">
        <f>Riego!B91</f>
        <v>RIEGO Y DISTRIBUCIÓN HIDRÁULICA</v>
      </c>
      <c r="D953">
        <f>Riego!F91</f>
        <v>63580</v>
      </c>
      <c r="E953" t="str">
        <f>Riego!G91</f>
        <v>PP COMPRES FT TEE REDUCCION 25X20X25</v>
      </c>
      <c r="F953">
        <f>Riego!H91</f>
        <v>6</v>
      </c>
      <c r="G953" t="str">
        <f>Riego!I91</f>
        <v>Bolsa</v>
      </c>
      <c r="H953">
        <f>IFERROR(IF(Riego!K91="",0,Riego!K91),0)</f>
        <v>0</v>
      </c>
      <c r="I953" s="58" t="str">
        <f>IF(H953&gt;0, MAX(I$1:I952)+1, "")</f>
        <v/>
      </c>
    </row>
    <row r="954" spans="1:9" x14ac:dyDescent="0.2">
      <c r="A954" t="s">
        <v>29</v>
      </c>
      <c r="B954" t="str">
        <f>Riego!A92</f>
        <v>Conducción Fluidos</v>
      </c>
      <c r="C954" t="str">
        <f>Riego!B92</f>
        <v>RIEGO Y DISTRIBUCIÓN HIDRÁULICA</v>
      </c>
      <c r="D954">
        <f>Riego!F92</f>
        <v>63581</v>
      </c>
      <c r="E954" t="str">
        <f>Riego!G92</f>
        <v>PP COMPRES FT TEE REDUCCION 32X20X32</v>
      </c>
      <c r="F954">
        <f>Riego!H92</f>
        <v>5</v>
      </c>
      <c r="G954" t="str">
        <f>Riego!I92</f>
        <v>Bolsa</v>
      </c>
      <c r="H954">
        <f>IFERROR(IF(Riego!K92="",0,Riego!K92),0)</f>
        <v>0</v>
      </c>
      <c r="I954" s="58" t="str">
        <f>IF(H954&gt;0, MAX(I$1:I953)+1, "")</f>
        <v/>
      </c>
    </row>
    <row r="955" spans="1:9" x14ac:dyDescent="0.2">
      <c r="A955" t="s">
        <v>29</v>
      </c>
      <c r="B955" t="str">
        <f>Riego!A93</f>
        <v>Conducción Fluidos</v>
      </c>
      <c r="C955" t="str">
        <f>Riego!B93</f>
        <v>RIEGO Y DISTRIBUCIÓN HIDRÁULICA</v>
      </c>
      <c r="D955">
        <f>Riego!F93</f>
        <v>63582</v>
      </c>
      <c r="E955" t="str">
        <f>Riego!G93</f>
        <v>PP COMPRES FT TEE REDUCCION 32X25X32</v>
      </c>
      <c r="F955">
        <f>Riego!H93</f>
        <v>5</v>
      </c>
      <c r="G955" t="str">
        <f>Riego!I93</f>
        <v>Bolsa</v>
      </c>
      <c r="H955">
        <f>IFERROR(IF(Riego!K93="",0,Riego!K93),0)</f>
        <v>0</v>
      </c>
      <c r="I955" s="58" t="str">
        <f>IF(H955&gt;0, MAX(I$1:I954)+1, "")</f>
        <v/>
      </c>
    </row>
    <row r="956" spans="1:9" x14ac:dyDescent="0.2">
      <c r="A956" t="s">
        <v>29</v>
      </c>
      <c r="B956" t="str">
        <f>Riego!A94</f>
        <v>Conducción Fluidos</v>
      </c>
      <c r="C956" t="str">
        <f>Riego!B94</f>
        <v>RIEGO Y DISTRIBUCIÓN HIDRÁULICA</v>
      </c>
      <c r="D956">
        <f>Riego!F94</f>
        <v>63583</v>
      </c>
      <c r="E956" t="str">
        <f>Riego!G94</f>
        <v>PP COMPRES FT TEE REDUCCION 40X20X40</v>
      </c>
      <c r="F956">
        <f>Riego!H94</f>
        <v>2</v>
      </c>
      <c r="G956" t="str">
        <f>Riego!I94</f>
        <v>Bolsa</v>
      </c>
      <c r="H956">
        <f>IFERROR(IF(Riego!K94="",0,Riego!K94),0)</f>
        <v>0</v>
      </c>
      <c r="I956" s="58" t="str">
        <f>IF(H956&gt;0, MAX(I$1:I955)+1, "")</f>
        <v/>
      </c>
    </row>
    <row r="957" spans="1:9" x14ac:dyDescent="0.2">
      <c r="A957" t="s">
        <v>29</v>
      </c>
      <c r="B957" t="str">
        <f>Riego!A95</f>
        <v>Conducción Fluidos</v>
      </c>
      <c r="C957" t="str">
        <f>Riego!B95</f>
        <v>RIEGO Y DISTRIBUCIÓN HIDRÁULICA</v>
      </c>
      <c r="D957">
        <f>Riego!F95</f>
        <v>63584</v>
      </c>
      <c r="E957" t="str">
        <f>Riego!G95</f>
        <v>PP COMPRES FT TEE REDUCCION 40X32X40</v>
      </c>
      <c r="F957">
        <f>Riego!H95</f>
        <v>2</v>
      </c>
      <c r="G957" t="str">
        <f>Riego!I95</f>
        <v>Bolsa</v>
      </c>
      <c r="H957">
        <f>IFERROR(IF(Riego!K95="",0,Riego!K95),0)</f>
        <v>0</v>
      </c>
      <c r="I957" s="58" t="str">
        <f>IF(H957&gt;0, MAX(I$1:I956)+1, "")</f>
        <v/>
      </c>
    </row>
    <row r="958" spans="1:9" x14ac:dyDescent="0.2">
      <c r="A958" t="s">
        <v>29</v>
      </c>
      <c r="B958" t="str">
        <f>Riego!A96</f>
        <v>Conducción Fluidos</v>
      </c>
      <c r="C958" t="str">
        <f>Riego!B96</f>
        <v>RIEGO Y DISTRIBUCIÓN HIDRÁULICA</v>
      </c>
      <c r="D958">
        <f>Riego!F96</f>
        <v>63585</v>
      </c>
      <c r="E958" t="str">
        <f>Riego!G96</f>
        <v>PP COMPRES FT TEE REDUCCION 50X25X50</v>
      </c>
      <c r="F958">
        <f>Riego!H96</f>
        <v>1</v>
      </c>
      <c r="G958" t="str">
        <f>Riego!I96</f>
        <v>Bolsa</v>
      </c>
      <c r="H958">
        <f>IFERROR(IF(Riego!K96="",0,Riego!K96),0)</f>
        <v>0</v>
      </c>
      <c r="I958" s="58" t="str">
        <f>IF(H958&gt;0, MAX(I$1:I957)+1, "")</f>
        <v/>
      </c>
    </row>
    <row r="959" spans="1:9" x14ac:dyDescent="0.2">
      <c r="A959" t="s">
        <v>29</v>
      </c>
      <c r="B959" t="str">
        <f>Riego!A97</f>
        <v>Conducción Fluidos</v>
      </c>
      <c r="C959" t="str">
        <f>Riego!B97</f>
        <v>RIEGO Y DISTRIBUCIÓN HIDRÁULICA</v>
      </c>
      <c r="D959">
        <f>Riego!F97</f>
        <v>63586</v>
      </c>
      <c r="E959" t="str">
        <f>Riego!G97</f>
        <v>PP COMPRES FT TEE REDUCCION 50X32X50</v>
      </c>
      <c r="F959">
        <f>Riego!H97</f>
        <v>1</v>
      </c>
      <c r="G959" t="str">
        <f>Riego!I97</f>
        <v>Bolsa</v>
      </c>
      <c r="H959">
        <f>IFERROR(IF(Riego!K97="",0,Riego!K97),0)</f>
        <v>0</v>
      </c>
      <c r="I959" s="58" t="str">
        <f>IF(H959&gt;0, MAX(I$1:I958)+1, "")</f>
        <v/>
      </c>
    </row>
    <row r="960" spans="1:9" x14ac:dyDescent="0.2">
      <c r="A960" t="s">
        <v>29</v>
      </c>
      <c r="B960" t="str">
        <f>Riego!A98</f>
        <v>Conducción Fluidos</v>
      </c>
      <c r="C960" t="str">
        <f>Riego!B98</f>
        <v>RIEGO Y DISTRIBUCIÓN HIDRÁULICA</v>
      </c>
      <c r="D960">
        <f>Riego!F98</f>
        <v>63587</v>
      </c>
      <c r="E960" t="str">
        <f>Riego!G98</f>
        <v>PP COMPRES FT TEE REDUCCION 50X40X50</v>
      </c>
      <c r="F960">
        <f>Riego!H98</f>
        <v>1</v>
      </c>
      <c r="G960" t="str">
        <f>Riego!I98</f>
        <v>Bolsa</v>
      </c>
      <c r="H960">
        <f>IFERROR(IF(Riego!K98="",0,Riego!K98),0)</f>
        <v>0</v>
      </c>
      <c r="I960" s="58" t="str">
        <f>IF(H960&gt;0, MAX(I$1:I959)+1, "")</f>
        <v/>
      </c>
    </row>
    <row r="961" spans="1:9" x14ac:dyDescent="0.2">
      <c r="A961" t="s">
        <v>29</v>
      </c>
      <c r="B961" t="str">
        <f>Riego!A99</f>
        <v>Conducción Fluidos</v>
      </c>
      <c r="C961" t="str">
        <f>Riego!B99</f>
        <v>RIEGO Y DISTRIBUCIÓN HIDRÁULICA</v>
      </c>
      <c r="D961">
        <f>Riego!F99</f>
        <v>63588</v>
      </c>
      <c r="E961" t="str">
        <f>Riego!G99</f>
        <v>PP COMPRES FT TEE REDUCCION 63X25X63</v>
      </c>
      <c r="F961">
        <f>Riego!H99</f>
        <v>1</v>
      </c>
      <c r="G961" t="str">
        <f>Riego!I99</f>
        <v>Bolsa</v>
      </c>
      <c r="H961">
        <f>IFERROR(IF(Riego!K99="",0,Riego!K99),0)</f>
        <v>0</v>
      </c>
      <c r="I961" s="58" t="str">
        <f>IF(H961&gt;0, MAX(I$1:I960)+1, "")</f>
        <v/>
      </c>
    </row>
    <row r="962" spans="1:9" x14ac:dyDescent="0.2">
      <c r="A962" t="s">
        <v>29</v>
      </c>
      <c r="B962" t="str">
        <f>Riego!A100</f>
        <v>Conducción Fluidos</v>
      </c>
      <c r="C962" t="str">
        <f>Riego!B100</f>
        <v>RIEGO Y DISTRIBUCIÓN HIDRÁULICA</v>
      </c>
      <c r="D962">
        <f>Riego!F100</f>
        <v>63589</v>
      </c>
      <c r="E962" t="str">
        <f>Riego!G100</f>
        <v>PP COMPRES FT TEE REDUCCION 63X32X63</v>
      </c>
      <c r="F962">
        <f>Riego!H100</f>
        <v>1</v>
      </c>
      <c r="G962" t="str">
        <f>Riego!I100</f>
        <v>Bolsa</v>
      </c>
      <c r="H962">
        <f>IFERROR(IF(Riego!K100="",0,Riego!K100),0)</f>
        <v>0</v>
      </c>
      <c r="I962" s="58" t="str">
        <f>IF(H962&gt;0, MAX(I$1:I961)+1, "")</f>
        <v/>
      </c>
    </row>
    <row r="963" spans="1:9" x14ac:dyDescent="0.2">
      <c r="A963" t="s">
        <v>29</v>
      </c>
      <c r="B963" t="str">
        <f>Riego!A101</f>
        <v>Conducción Fluidos</v>
      </c>
      <c r="C963" t="str">
        <f>Riego!B101</f>
        <v>RIEGO Y DISTRIBUCIÓN HIDRÁULICA</v>
      </c>
      <c r="D963">
        <f>Riego!F101</f>
        <v>63590</v>
      </c>
      <c r="E963" t="str">
        <f>Riego!G101</f>
        <v>PP COMPRES FT TEE REDUCCION 63X40X63</v>
      </c>
      <c r="F963">
        <f>Riego!H101</f>
        <v>1</v>
      </c>
      <c r="G963" t="str">
        <f>Riego!I101</f>
        <v>Bolsa</v>
      </c>
      <c r="H963">
        <f>IFERROR(IF(Riego!K101="",0,Riego!K101),0)</f>
        <v>0</v>
      </c>
      <c r="I963" s="58" t="str">
        <f>IF(H963&gt;0, MAX(I$1:I962)+1, "")</f>
        <v/>
      </c>
    </row>
    <row r="964" spans="1:9" x14ac:dyDescent="0.2">
      <c r="A964" t="s">
        <v>29</v>
      </c>
      <c r="B964" t="str">
        <f>Riego!A102</f>
        <v>Conducción Fluidos</v>
      </c>
      <c r="C964" t="str">
        <f>Riego!B102</f>
        <v>RIEGO Y DISTRIBUCIÓN HIDRÁULICA</v>
      </c>
      <c r="D964">
        <f>Riego!F102</f>
        <v>63591</v>
      </c>
      <c r="E964" t="str">
        <f>Riego!G102</f>
        <v>PP COMPRES FT TEE REDUCCION 63X50X63</v>
      </c>
      <c r="F964">
        <f>Riego!H102</f>
        <v>1</v>
      </c>
      <c r="G964" t="str">
        <f>Riego!I102</f>
        <v>Bolsa</v>
      </c>
      <c r="H964">
        <f>IFERROR(IF(Riego!K102="",0,Riego!K102),0)</f>
        <v>0</v>
      </c>
      <c r="I964" s="58" t="str">
        <f>IF(H964&gt;0, MAX(I$1:I963)+1, "")</f>
        <v/>
      </c>
    </row>
    <row r="965" spans="1:9" x14ac:dyDescent="0.2">
      <c r="A965" t="s">
        <v>29</v>
      </c>
      <c r="B965" t="str">
        <f>Riego!A103</f>
        <v>Conducción Fluidos</v>
      </c>
      <c r="C965" t="str">
        <f>Riego!B103</f>
        <v>RIEGO Y DISTRIBUCIÓN HIDRÁULICA</v>
      </c>
      <c r="D965">
        <f>Riego!F103</f>
        <v>63700</v>
      </c>
      <c r="E965" t="str">
        <f>Riego!G103</f>
        <v>PP COMPRES FT TEE C/REFUERZO HI 20X1/2</v>
      </c>
      <c r="F965">
        <f>Riego!H103</f>
        <v>15</v>
      </c>
      <c r="G965" t="str">
        <f>Riego!I103</f>
        <v>Bolsa</v>
      </c>
      <c r="H965">
        <f>IFERROR(IF(Riego!K103="",0,Riego!K103),0)</f>
        <v>0</v>
      </c>
      <c r="I965" s="58" t="str">
        <f>IF(H965&gt;0, MAX(I$1:I964)+1, "")</f>
        <v/>
      </c>
    </row>
    <row r="966" spans="1:9" x14ac:dyDescent="0.2">
      <c r="A966" t="s">
        <v>29</v>
      </c>
      <c r="B966" t="str">
        <f>Riego!A104</f>
        <v>Conducción Fluidos</v>
      </c>
      <c r="C966" t="str">
        <f>Riego!B104</f>
        <v>RIEGO Y DISTRIBUCIÓN HIDRÁULICA</v>
      </c>
      <c r="D966">
        <f>Riego!F104</f>
        <v>63701</v>
      </c>
      <c r="E966" t="str">
        <f>Riego!G104</f>
        <v>PP COMPRES FT TEE C/REFUERZO HI 20X3/4</v>
      </c>
      <c r="F966">
        <f>Riego!H104</f>
        <v>15</v>
      </c>
      <c r="G966" t="str">
        <f>Riego!I104</f>
        <v>Bolsa</v>
      </c>
      <c r="H966">
        <f>IFERROR(IF(Riego!K104="",0,Riego!K104),0)</f>
        <v>0</v>
      </c>
      <c r="I966" s="58" t="str">
        <f>IF(H966&gt;0, MAX(I$1:I965)+1, "")</f>
        <v/>
      </c>
    </row>
    <row r="967" spans="1:9" x14ac:dyDescent="0.2">
      <c r="A967" t="s">
        <v>29</v>
      </c>
      <c r="B967" t="str">
        <f>Riego!A105</f>
        <v>Conducción Fluidos</v>
      </c>
      <c r="C967" t="str">
        <f>Riego!B105</f>
        <v>RIEGO Y DISTRIBUCIÓN HIDRÁULICA</v>
      </c>
      <c r="D967">
        <f>Riego!F105</f>
        <v>63702</v>
      </c>
      <c r="E967" t="str">
        <f>Riego!G105</f>
        <v>PP COMPRES FT TEE C/REFUERZO HI 20X1</v>
      </c>
      <c r="F967">
        <f>Riego!H105</f>
        <v>15</v>
      </c>
      <c r="G967" t="str">
        <f>Riego!I105</f>
        <v>Bolsa</v>
      </c>
      <c r="H967">
        <f>IFERROR(IF(Riego!K105="",0,Riego!K105),0)</f>
        <v>0</v>
      </c>
      <c r="I967" s="58" t="str">
        <f>IF(H967&gt;0, MAX(I$1:I966)+1, "")</f>
        <v/>
      </c>
    </row>
    <row r="968" spans="1:9" x14ac:dyDescent="0.2">
      <c r="A968" t="s">
        <v>29</v>
      </c>
      <c r="B968" t="str">
        <f>Riego!A106</f>
        <v>Conducción Fluidos</v>
      </c>
      <c r="C968" t="str">
        <f>Riego!B106</f>
        <v>RIEGO Y DISTRIBUCIÓN HIDRÁULICA</v>
      </c>
      <c r="D968">
        <f>Riego!F106</f>
        <v>63703</v>
      </c>
      <c r="E968" t="str">
        <f>Riego!G106</f>
        <v>PP COMPRES FT TEE C/REFUERZO HI 25X1/2</v>
      </c>
      <c r="F968">
        <f>Riego!H106</f>
        <v>8</v>
      </c>
      <c r="G968" t="str">
        <f>Riego!I106</f>
        <v>Bolsa</v>
      </c>
      <c r="H968">
        <f>IFERROR(IF(Riego!K106="",0,Riego!K106),0)</f>
        <v>0</v>
      </c>
      <c r="I968" s="58" t="str">
        <f>IF(H968&gt;0, MAX(I$1:I967)+1, "")</f>
        <v/>
      </c>
    </row>
    <row r="969" spans="1:9" x14ac:dyDescent="0.2">
      <c r="A969" t="s">
        <v>29</v>
      </c>
      <c r="B969" t="str">
        <f>Riego!A107</f>
        <v>Conducción Fluidos</v>
      </c>
      <c r="C969" t="str">
        <f>Riego!B107</f>
        <v>RIEGO Y DISTRIBUCIÓN HIDRÁULICA</v>
      </c>
      <c r="D969">
        <f>Riego!F107</f>
        <v>63704</v>
      </c>
      <c r="E969" t="str">
        <f>Riego!G107</f>
        <v>PP COMPRES FT TEE C/REFUERZO HI 25X3/4</v>
      </c>
      <c r="F969">
        <f>Riego!H107</f>
        <v>8</v>
      </c>
      <c r="G969" t="str">
        <f>Riego!I107</f>
        <v>Bolsa</v>
      </c>
      <c r="H969">
        <f>IFERROR(IF(Riego!K107="",0,Riego!K107),0)</f>
        <v>0</v>
      </c>
      <c r="I969" s="58" t="str">
        <f>IF(H969&gt;0, MAX(I$1:I968)+1, "")</f>
        <v/>
      </c>
    </row>
    <row r="970" spans="1:9" x14ac:dyDescent="0.2">
      <c r="A970" t="s">
        <v>29</v>
      </c>
      <c r="B970" t="str">
        <f>Riego!A108</f>
        <v>Conducción Fluidos</v>
      </c>
      <c r="C970" t="str">
        <f>Riego!B108</f>
        <v>RIEGO Y DISTRIBUCIÓN HIDRÁULICA</v>
      </c>
      <c r="D970">
        <f>Riego!F108</f>
        <v>63705</v>
      </c>
      <c r="E970" t="str">
        <f>Riego!G108</f>
        <v>PP COMPRES FT TEE C/REFUERZO HI 25X1</v>
      </c>
      <c r="F970">
        <f>Riego!H108</f>
        <v>8</v>
      </c>
      <c r="G970" t="str">
        <f>Riego!I108</f>
        <v>Bolsa</v>
      </c>
      <c r="H970">
        <f>IFERROR(IF(Riego!K108="",0,Riego!K108),0)</f>
        <v>0</v>
      </c>
      <c r="I970" s="58" t="str">
        <f>IF(H970&gt;0, MAX(I$1:I969)+1, "")</f>
        <v/>
      </c>
    </row>
    <row r="971" spans="1:9" x14ac:dyDescent="0.2">
      <c r="A971" t="s">
        <v>29</v>
      </c>
      <c r="B971" t="str">
        <f>Riego!A109</f>
        <v>Conducción Fluidos</v>
      </c>
      <c r="C971" t="str">
        <f>Riego!B109</f>
        <v>RIEGO Y DISTRIBUCIÓN HIDRÁULICA</v>
      </c>
      <c r="D971">
        <f>Riego!F109</f>
        <v>63706</v>
      </c>
      <c r="E971" t="str">
        <f>Riego!G109</f>
        <v>PP COMPRES FT TEE C/REFUERZO HI 32X1/2</v>
      </c>
      <c r="F971">
        <f>Riego!H109</f>
        <v>5</v>
      </c>
      <c r="G971" t="str">
        <f>Riego!I109</f>
        <v>Bolsa</v>
      </c>
      <c r="H971">
        <f>IFERROR(IF(Riego!K109="",0,Riego!K109),0)</f>
        <v>0</v>
      </c>
      <c r="I971" s="58" t="str">
        <f>IF(H971&gt;0, MAX(I$1:I970)+1, "")</f>
        <v/>
      </c>
    </row>
    <row r="972" spans="1:9" x14ac:dyDescent="0.2">
      <c r="A972" t="s">
        <v>29</v>
      </c>
      <c r="B972" t="str">
        <f>Riego!A110</f>
        <v>Conducción Fluidos</v>
      </c>
      <c r="C972" t="str">
        <f>Riego!B110</f>
        <v>RIEGO Y DISTRIBUCIÓN HIDRÁULICA</v>
      </c>
      <c r="D972">
        <f>Riego!F110</f>
        <v>63707</v>
      </c>
      <c r="E972" t="str">
        <f>Riego!G110</f>
        <v>PP COMPRES FT TEE C/REFUERZO HI 32X3/4</v>
      </c>
      <c r="F972">
        <f>Riego!H110</f>
        <v>5</v>
      </c>
      <c r="G972" t="str">
        <f>Riego!I110</f>
        <v>Bolsa</v>
      </c>
      <c r="H972">
        <f>IFERROR(IF(Riego!K110="",0,Riego!K110),0)</f>
        <v>0</v>
      </c>
      <c r="I972" s="58" t="str">
        <f>IF(H972&gt;0, MAX(I$1:I971)+1, "")</f>
        <v/>
      </c>
    </row>
    <row r="973" spans="1:9" x14ac:dyDescent="0.2">
      <c r="A973" t="s">
        <v>29</v>
      </c>
      <c r="B973" t="str">
        <f>Riego!A111</f>
        <v>Conducción Fluidos</v>
      </c>
      <c r="C973" t="str">
        <f>Riego!B111</f>
        <v>RIEGO Y DISTRIBUCIÓN HIDRÁULICA</v>
      </c>
      <c r="D973">
        <f>Riego!F111</f>
        <v>63708</v>
      </c>
      <c r="E973" t="str">
        <f>Riego!G111</f>
        <v>PP COMPRES FT TEE C/REFUERZO HI 32X1</v>
      </c>
      <c r="F973">
        <f>Riego!H111</f>
        <v>5</v>
      </c>
      <c r="G973" t="str">
        <f>Riego!I111</f>
        <v>Bolsa</v>
      </c>
      <c r="H973">
        <f>IFERROR(IF(Riego!K111="",0,Riego!K111),0)</f>
        <v>0</v>
      </c>
      <c r="I973" s="58" t="str">
        <f>IF(H973&gt;0, MAX(I$1:I972)+1, "")</f>
        <v/>
      </c>
    </row>
    <row r="974" spans="1:9" x14ac:dyDescent="0.2">
      <c r="A974" t="s">
        <v>29</v>
      </c>
      <c r="B974" t="str">
        <f>Riego!A112</f>
        <v>Conducción Fluidos</v>
      </c>
      <c r="C974" t="str">
        <f>Riego!B112</f>
        <v>RIEGO Y DISTRIBUCIÓN HIDRÁULICA</v>
      </c>
      <c r="D974">
        <f>Riego!F112</f>
        <v>63709</v>
      </c>
      <c r="E974" t="str">
        <f>Riego!G112</f>
        <v>PP COMPRES FT TEE C/REFUERZO HI 40X1</v>
      </c>
      <c r="F974">
        <f>Riego!H112</f>
        <v>2</v>
      </c>
      <c r="G974" t="str">
        <f>Riego!I112</f>
        <v>Bolsa</v>
      </c>
      <c r="H974">
        <f>IFERROR(IF(Riego!K112="",0,Riego!K112),0)</f>
        <v>0</v>
      </c>
      <c r="I974" s="58" t="str">
        <f>IF(H974&gt;0, MAX(I$1:I973)+1, "")</f>
        <v/>
      </c>
    </row>
    <row r="975" spans="1:9" x14ac:dyDescent="0.2">
      <c r="A975" t="s">
        <v>29</v>
      </c>
      <c r="B975" t="str">
        <f>Riego!A113</f>
        <v>Conducción Fluidos</v>
      </c>
      <c r="C975" t="str">
        <f>Riego!B113</f>
        <v>RIEGO Y DISTRIBUCIÓN HIDRÁULICA</v>
      </c>
      <c r="D975">
        <f>Riego!F113</f>
        <v>63741</v>
      </c>
      <c r="E975" t="str">
        <f>Riego!G113</f>
        <v>PP COMPRES FT TEE C/REFUERZO HI 40X1 1/4</v>
      </c>
      <c r="F975">
        <f>Riego!H113</f>
        <v>2</v>
      </c>
      <c r="G975" t="str">
        <f>Riego!I113</f>
        <v>Bolsa</v>
      </c>
      <c r="H975">
        <f>IFERROR(IF(Riego!K113="",0,Riego!K113),0)</f>
        <v>0</v>
      </c>
      <c r="I975" s="58" t="str">
        <f>IF(H975&gt;0, MAX(I$1:I974)+1, "")</f>
        <v/>
      </c>
    </row>
    <row r="976" spans="1:9" x14ac:dyDescent="0.2">
      <c r="A976" t="s">
        <v>29</v>
      </c>
      <c r="B976" t="str">
        <f>Riego!A114</f>
        <v>Conducción Fluidos</v>
      </c>
      <c r="C976" t="str">
        <f>Riego!B114</f>
        <v>RIEGO Y DISTRIBUCIÓN HIDRÁULICA</v>
      </c>
      <c r="D976">
        <f>Riego!F114</f>
        <v>63710</v>
      </c>
      <c r="E976" t="str">
        <f>Riego!G114</f>
        <v>PP COMPRES FT TEE C/REFUERZO HI 50X1 1/4</v>
      </c>
      <c r="F976">
        <f>Riego!H114</f>
        <v>1</v>
      </c>
      <c r="G976" t="str">
        <f>Riego!I114</f>
        <v>Bolsa</v>
      </c>
      <c r="H976">
        <f>IFERROR(IF(Riego!K114="",0,Riego!K114),0)</f>
        <v>0</v>
      </c>
      <c r="I976" s="58" t="str">
        <f>IF(H976&gt;0, MAX(I$1:I975)+1, "")</f>
        <v/>
      </c>
    </row>
    <row r="977" spans="1:9" x14ac:dyDescent="0.2">
      <c r="A977" t="s">
        <v>29</v>
      </c>
      <c r="B977" t="str">
        <f>Riego!A115</f>
        <v>Conducción Fluidos</v>
      </c>
      <c r="C977" t="str">
        <f>Riego!B115</f>
        <v>RIEGO Y DISTRIBUCIÓN HIDRÁULICA</v>
      </c>
      <c r="D977">
        <f>Riego!F115</f>
        <v>63711</v>
      </c>
      <c r="E977" t="str">
        <f>Riego!G115</f>
        <v>PP COMPRES FT TEE C/REFUERZO HI 50X1 1/2</v>
      </c>
      <c r="F977">
        <f>Riego!H115</f>
        <v>1</v>
      </c>
      <c r="G977" t="str">
        <f>Riego!I115</f>
        <v>Bolsa</v>
      </c>
      <c r="H977">
        <f>IFERROR(IF(Riego!K115="",0,Riego!K115),0)</f>
        <v>0</v>
      </c>
      <c r="I977" s="58" t="str">
        <f>IF(H977&gt;0, MAX(I$1:I976)+1, "")</f>
        <v/>
      </c>
    </row>
    <row r="978" spans="1:9" x14ac:dyDescent="0.2">
      <c r="A978" t="s">
        <v>29</v>
      </c>
      <c r="B978" t="str">
        <f>Riego!A116</f>
        <v>Conducción Fluidos</v>
      </c>
      <c r="C978" t="str">
        <f>Riego!B116</f>
        <v>RIEGO Y DISTRIBUCIÓN HIDRÁULICA</v>
      </c>
      <c r="D978">
        <f>Riego!F116</f>
        <v>63712</v>
      </c>
      <c r="E978" t="str">
        <f>Riego!G116</f>
        <v>PP COMPRES FT TEE C/REFUERZO HI 63X1 1/2</v>
      </c>
      <c r="F978">
        <f>Riego!H116</f>
        <v>1</v>
      </c>
      <c r="G978" t="str">
        <f>Riego!I116</f>
        <v>Bolsa</v>
      </c>
      <c r="H978">
        <f>IFERROR(IF(Riego!K116="",0,Riego!K116),0)</f>
        <v>0</v>
      </c>
      <c r="I978" s="58" t="str">
        <f>IF(H978&gt;0, MAX(I$1:I977)+1, "")</f>
        <v/>
      </c>
    </row>
    <row r="979" spans="1:9" x14ac:dyDescent="0.2">
      <c r="A979" t="s">
        <v>29</v>
      </c>
      <c r="B979" t="str">
        <f>Riego!A117</f>
        <v>Conducción Fluidos</v>
      </c>
      <c r="C979" t="str">
        <f>Riego!B117</f>
        <v>RIEGO Y DISTRIBUCIÓN HIDRÁULICA</v>
      </c>
      <c r="D979">
        <f>Riego!F117</f>
        <v>63713</v>
      </c>
      <c r="E979" t="str">
        <f>Riego!G117</f>
        <v>PP COMPRES FT TEE C/REFUERZO HI 63X2</v>
      </c>
      <c r="F979">
        <f>Riego!H117</f>
        <v>1</v>
      </c>
      <c r="G979" t="str">
        <f>Riego!I117</f>
        <v>Bolsa</v>
      </c>
      <c r="H979">
        <f>IFERROR(IF(Riego!K117="",0,Riego!K117),0)</f>
        <v>0</v>
      </c>
      <c r="I979" s="58" t="str">
        <f>IF(H979&gt;0, MAX(I$1:I978)+1, "")</f>
        <v/>
      </c>
    </row>
    <row r="980" spans="1:9" x14ac:dyDescent="0.2">
      <c r="A980" t="s">
        <v>29</v>
      </c>
      <c r="B980" t="str">
        <f>Riego!A118</f>
        <v>Conducción Fluidos</v>
      </c>
      <c r="C980" t="str">
        <f>Riego!B118</f>
        <v>RIEGO Y DISTRIBUCIÓN HIDRÁULICA</v>
      </c>
      <c r="D980">
        <f>Riego!F118</f>
        <v>63714</v>
      </c>
      <c r="E980" t="str">
        <f>Riego!G118</f>
        <v>PP COMPRES FT TEE C/REFUERZO HE 20X1/2</v>
      </c>
      <c r="F980">
        <f>Riego!H118</f>
        <v>15</v>
      </c>
      <c r="G980" t="str">
        <f>Riego!I118</f>
        <v>Bolsa</v>
      </c>
      <c r="H980">
        <f>IFERROR(IF(Riego!K118="",0,Riego!K118),0)</f>
        <v>0</v>
      </c>
      <c r="I980" s="58" t="str">
        <f>IF(H980&gt;0, MAX(I$1:I979)+1, "")</f>
        <v/>
      </c>
    </row>
    <row r="981" spans="1:9" x14ac:dyDescent="0.2">
      <c r="A981" t="s">
        <v>29</v>
      </c>
      <c r="B981" t="str">
        <f>Riego!A119</f>
        <v>Conducción Fluidos</v>
      </c>
      <c r="C981" t="str">
        <f>Riego!B119</f>
        <v>RIEGO Y DISTRIBUCIÓN HIDRÁULICA</v>
      </c>
      <c r="D981">
        <f>Riego!F119</f>
        <v>63715</v>
      </c>
      <c r="E981" t="str">
        <f>Riego!G119</f>
        <v>PP COMPRES FT TEE C/REFUERZO HE 20X3/4</v>
      </c>
      <c r="F981">
        <f>Riego!H119</f>
        <v>15</v>
      </c>
      <c r="G981" t="str">
        <f>Riego!I119</f>
        <v>Bolsa</v>
      </c>
      <c r="H981">
        <f>IFERROR(IF(Riego!K119="",0,Riego!K119),0)</f>
        <v>0</v>
      </c>
      <c r="I981" s="58" t="str">
        <f>IF(H981&gt;0, MAX(I$1:I980)+1, "")</f>
        <v/>
      </c>
    </row>
    <row r="982" spans="1:9" x14ac:dyDescent="0.2">
      <c r="A982" t="s">
        <v>29</v>
      </c>
      <c r="B982" t="str">
        <f>Riego!A120</f>
        <v>Conducción Fluidos</v>
      </c>
      <c r="C982" t="str">
        <f>Riego!B120</f>
        <v>RIEGO Y DISTRIBUCIÓN HIDRÁULICA</v>
      </c>
      <c r="D982">
        <f>Riego!F120</f>
        <v>63716</v>
      </c>
      <c r="E982" t="str">
        <f>Riego!G120</f>
        <v>PP COMPRES FT TEE C/REFUERZO HE 20X1</v>
      </c>
      <c r="F982">
        <f>Riego!H120</f>
        <v>15</v>
      </c>
      <c r="G982" t="str">
        <f>Riego!I120</f>
        <v>Bolsa</v>
      </c>
      <c r="H982">
        <f>IFERROR(IF(Riego!K120="",0,Riego!K120),0)</f>
        <v>0</v>
      </c>
      <c r="I982" s="58" t="str">
        <f>IF(H982&gt;0, MAX(I$1:I981)+1, "")</f>
        <v/>
      </c>
    </row>
    <row r="983" spans="1:9" x14ac:dyDescent="0.2">
      <c r="A983" t="s">
        <v>29</v>
      </c>
      <c r="B983" t="str">
        <f>Riego!A121</f>
        <v>Conducción Fluidos</v>
      </c>
      <c r="C983" t="str">
        <f>Riego!B121</f>
        <v>RIEGO Y DISTRIBUCIÓN HIDRÁULICA</v>
      </c>
      <c r="D983">
        <f>Riego!F121</f>
        <v>63717</v>
      </c>
      <c r="E983" t="str">
        <f>Riego!G121</f>
        <v>PP COMPRES FT TEE C/REFUERZO HE 25X1/2</v>
      </c>
      <c r="F983">
        <f>Riego!H121</f>
        <v>8</v>
      </c>
      <c r="G983" t="str">
        <f>Riego!I121</f>
        <v>Bolsa</v>
      </c>
      <c r="H983">
        <f>IFERROR(IF(Riego!K121="",0,Riego!K121),0)</f>
        <v>0</v>
      </c>
      <c r="I983" s="58" t="str">
        <f>IF(H983&gt;0, MAX(I$1:I982)+1, "")</f>
        <v/>
      </c>
    </row>
    <row r="984" spans="1:9" x14ac:dyDescent="0.2">
      <c r="A984" t="s">
        <v>29</v>
      </c>
      <c r="B984" t="str">
        <f>Riego!A122</f>
        <v>Conducción Fluidos</v>
      </c>
      <c r="C984" t="str">
        <f>Riego!B122</f>
        <v>RIEGO Y DISTRIBUCIÓN HIDRÁULICA</v>
      </c>
      <c r="D984">
        <f>Riego!F122</f>
        <v>63718</v>
      </c>
      <c r="E984" t="str">
        <f>Riego!G122</f>
        <v>PP COMPRES FT TEE C/REFUERZO HE 25X3/4</v>
      </c>
      <c r="F984">
        <f>Riego!H122</f>
        <v>8</v>
      </c>
      <c r="G984" t="str">
        <f>Riego!I122</f>
        <v>Bolsa</v>
      </c>
      <c r="H984">
        <f>IFERROR(IF(Riego!K122="",0,Riego!K122),0)</f>
        <v>0</v>
      </c>
      <c r="I984" s="58" t="str">
        <f>IF(H984&gt;0, MAX(I$1:I983)+1, "")</f>
        <v/>
      </c>
    </row>
    <row r="985" spans="1:9" x14ac:dyDescent="0.2">
      <c r="A985" t="s">
        <v>29</v>
      </c>
      <c r="B985" t="str">
        <f>Riego!A123</f>
        <v>Conducción Fluidos</v>
      </c>
      <c r="C985" t="str">
        <f>Riego!B123</f>
        <v>RIEGO Y DISTRIBUCIÓN HIDRÁULICA</v>
      </c>
      <c r="D985">
        <f>Riego!F123</f>
        <v>63719</v>
      </c>
      <c r="E985" t="str">
        <f>Riego!G123</f>
        <v>PP COMPRES FT TEE C/REFUERZO HE 25X1</v>
      </c>
      <c r="F985">
        <f>Riego!H123</f>
        <v>8</v>
      </c>
      <c r="G985" t="str">
        <f>Riego!I123</f>
        <v>Bolsa</v>
      </c>
      <c r="H985">
        <f>IFERROR(IF(Riego!K123="",0,Riego!K123),0)</f>
        <v>0</v>
      </c>
      <c r="I985" s="58" t="str">
        <f>IF(H985&gt;0, MAX(I$1:I984)+1, "")</f>
        <v/>
      </c>
    </row>
    <row r="986" spans="1:9" x14ac:dyDescent="0.2">
      <c r="A986" t="s">
        <v>29</v>
      </c>
      <c r="B986" t="str">
        <f>Riego!A124</f>
        <v>Conducción Fluidos</v>
      </c>
      <c r="C986" t="str">
        <f>Riego!B124</f>
        <v>RIEGO Y DISTRIBUCIÓN HIDRÁULICA</v>
      </c>
      <c r="D986">
        <f>Riego!F124</f>
        <v>63720</v>
      </c>
      <c r="E986" t="str">
        <f>Riego!G124</f>
        <v>PP COMPRES FT TEE C/REFUERZO HE 32X1/2</v>
      </c>
      <c r="F986">
        <f>Riego!H124</f>
        <v>5</v>
      </c>
      <c r="G986" t="str">
        <f>Riego!I124</f>
        <v>Bolsa</v>
      </c>
      <c r="H986">
        <f>IFERROR(IF(Riego!K124="",0,Riego!K124),0)</f>
        <v>0</v>
      </c>
      <c r="I986" s="58" t="str">
        <f>IF(H986&gt;0, MAX(I$1:I985)+1, "")</f>
        <v/>
      </c>
    </row>
    <row r="987" spans="1:9" x14ac:dyDescent="0.2">
      <c r="A987" t="s">
        <v>29</v>
      </c>
      <c r="B987" t="str">
        <f>Riego!A125</f>
        <v>Conducción Fluidos</v>
      </c>
      <c r="C987" t="str">
        <f>Riego!B125</f>
        <v>RIEGO Y DISTRIBUCIÓN HIDRÁULICA</v>
      </c>
      <c r="D987">
        <f>Riego!F125</f>
        <v>63721</v>
      </c>
      <c r="E987" t="str">
        <f>Riego!G125</f>
        <v>PP COMPRES FT TEE C/REFUERZO HE 32X3/4</v>
      </c>
      <c r="F987">
        <f>Riego!H125</f>
        <v>5</v>
      </c>
      <c r="G987" t="str">
        <f>Riego!I125</f>
        <v>Bolsa</v>
      </c>
      <c r="H987">
        <f>IFERROR(IF(Riego!K125="",0,Riego!K125),0)</f>
        <v>0</v>
      </c>
      <c r="I987" s="58" t="str">
        <f>IF(H987&gt;0, MAX(I$1:I986)+1, "")</f>
        <v/>
      </c>
    </row>
    <row r="988" spans="1:9" x14ac:dyDescent="0.2">
      <c r="A988" t="s">
        <v>29</v>
      </c>
      <c r="B988" t="str">
        <f>Riego!A126</f>
        <v>Conducción Fluidos</v>
      </c>
      <c r="C988" t="str">
        <f>Riego!B126</f>
        <v>RIEGO Y DISTRIBUCIÓN HIDRÁULICA</v>
      </c>
      <c r="D988">
        <f>Riego!F126</f>
        <v>63722</v>
      </c>
      <c r="E988" t="str">
        <f>Riego!G126</f>
        <v>PP COMPRES FT TEE C/REFUERZO HE 32X1</v>
      </c>
      <c r="F988">
        <f>Riego!H126</f>
        <v>5</v>
      </c>
      <c r="G988" t="str">
        <f>Riego!I126</f>
        <v>Bolsa</v>
      </c>
      <c r="H988">
        <f>IFERROR(IF(Riego!K126="",0,Riego!K126),0)</f>
        <v>0</v>
      </c>
      <c r="I988" s="58" t="str">
        <f>IF(H988&gt;0, MAX(I$1:I987)+1, "")</f>
        <v/>
      </c>
    </row>
    <row r="989" spans="1:9" x14ac:dyDescent="0.2">
      <c r="A989" t="s">
        <v>29</v>
      </c>
      <c r="B989" t="str">
        <f>Riego!A127</f>
        <v>Conducción Fluidos</v>
      </c>
      <c r="C989" t="str">
        <f>Riego!B127</f>
        <v>RIEGO Y DISTRIBUCIÓN HIDRÁULICA</v>
      </c>
      <c r="D989">
        <f>Riego!F127</f>
        <v>63723</v>
      </c>
      <c r="E989" t="str">
        <f>Riego!G127</f>
        <v>PP COMPRES FT TEE C/REFUERZO HE 32X1 1/4</v>
      </c>
      <c r="F989">
        <f>Riego!H127</f>
        <v>5</v>
      </c>
      <c r="G989" t="str">
        <f>Riego!I127</f>
        <v>Bolsa</v>
      </c>
      <c r="H989">
        <f>IFERROR(IF(Riego!K127="",0,Riego!K127),0)</f>
        <v>0</v>
      </c>
      <c r="I989" s="58" t="str">
        <f>IF(H989&gt;0, MAX(I$1:I988)+1, "")</f>
        <v/>
      </c>
    </row>
    <row r="990" spans="1:9" x14ac:dyDescent="0.2">
      <c r="A990" t="s">
        <v>29</v>
      </c>
      <c r="B990" t="str">
        <f>Riego!A128</f>
        <v>Conducción Fluidos</v>
      </c>
      <c r="C990" t="str">
        <f>Riego!B128</f>
        <v>RIEGO Y DISTRIBUCIÓN HIDRÁULICA</v>
      </c>
      <c r="D990">
        <f>Riego!F128</f>
        <v>63724</v>
      </c>
      <c r="E990" t="str">
        <f>Riego!G128</f>
        <v>PP COMPRES FT TEE C/REFUERZO HE 40X1</v>
      </c>
      <c r="F990">
        <f>Riego!H128</f>
        <v>2</v>
      </c>
      <c r="G990" t="str">
        <f>Riego!I128</f>
        <v>Bolsa</v>
      </c>
      <c r="H990">
        <f>IFERROR(IF(Riego!K128="",0,Riego!K128),0)</f>
        <v>0</v>
      </c>
      <c r="I990" s="58" t="str">
        <f>IF(H990&gt;0, MAX(I$1:I989)+1, "")</f>
        <v/>
      </c>
    </row>
    <row r="991" spans="1:9" x14ac:dyDescent="0.2">
      <c r="A991" t="s">
        <v>29</v>
      </c>
      <c r="B991" t="str">
        <f>Riego!A129</f>
        <v>Conducción Fluidos</v>
      </c>
      <c r="C991" t="str">
        <f>Riego!B129</f>
        <v>RIEGO Y DISTRIBUCIÓN HIDRÁULICA</v>
      </c>
      <c r="D991">
        <f>Riego!F129</f>
        <v>63725</v>
      </c>
      <c r="E991" t="str">
        <f>Riego!G129</f>
        <v>PP COMPRES FT TEE C/REFUERZO HE 40X1 1/4</v>
      </c>
      <c r="F991">
        <f>Riego!H129</f>
        <v>2</v>
      </c>
      <c r="G991" t="str">
        <f>Riego!I129</f>
        <v>Bolsa</v>
      </c>
      <c r="H991">
        <f>IFERROR(IF(Riego!K129="",0,Riego!K129),0)</f>
        <v>0</v>
      </c>
      <c r="I991" s="58" t="str">
        <f>IF(H991&gt;0, MAX(I$1:I990)+1, "")</f>
        <v/>
      </c>
    </row>
    <row r="992" spans="1:9" x14ac:dyDescent="0.2">
      <c r="A992" t="s">
        <v>29</v>
      </c>
      <c r="B992" t="str">
        <f>Riego!A130</f>
        <v>Conducción Fluidos</v>
      </c>
      <c r="C992" t="str">
        <f>Riego!B130</f>
        <v>RIEGO Y DISTRIBUCIÓN HIDRÁULICA</v>
      </c>
      <c r="D992">
        <f>Riego!F130</f>
        <v>63726</v>
      </c>
      <c r="E992" t="str">
        <f>Riego!G130</f>
        <v>PP COMPRES FT TEE C/REFUERZO HE 40X1 1/2</v>
      </c>
      <c r="F992">
        <f>Riego!H130</f>
        <v>2</v>
      </c>
      <c r="G992" t="str">
        <f>Riego!I130</f>
        <v>Bolsa</v>
      </c>
      <c r="H992">
        <f>IFERROR(IF(Riego!K130="",0,Riego!K130),0)</f>
        <v>0</v>
      </c>
      <c r="I992" s="58" t="str">
        <f>IF(H992&gt;0, MAX(I$1:I991)+1, "")</f>
        <v/>
      </c>
    </row>
    <row r="993" spans="1:9" x14ac:dyDescent="0.2">
      <c r="A993" t="s">
        <v>29</v>
      </c>
      <c r="B993" t="str">
        <f>Riego!A131</f>
        <v>Conducción Fluidos</v>
      </c>
      <c r="C993" t="str">
        <f>Riego!B131</f>
        <v>RIEGO Y DISTRIBUCIÓN HIDRÁULICA</v>
      </c>
      <c r="D993">
        <f>Riego!F131</f>
        <v>63727</v>
      </c>
      <c r="E993" t="str">
        <f>Riego!G131</f>
        <v>PP COMPRES FT TEE C/REFUERZO HE 50</v>
      </c>
      <c r="F993">
        <f>Riego!H131</f>
        <v>1</v>
      </c>
      <c r="G993" t="str">
        <f>Riego!I131</f>
        <v>Bolsa</v>
      </c>
      <c r="H993">
        <f>IFERROR(IF(Riego!K131="",0,Riego!K131),0)</f>
        <v>0</v>
      </c>
      <c r="I993" s="58" t="str">
        <f>IF(H993&gt;0, MAX(I$1:I992)+1, "")</f>
        <v/>
      </c>
    </row>
    <row r="994" spans="1:9" x14ac:dyDescent="0.2">
      <c r="A994" t="s">
        <v>29</v>
      </c>
      <c r="B994" t="str">
        <f>Riego!A132</f>
        <v>Conducción Fluidos</v>
      </c>
      <c r="C994" t="str">
        <f>Riego!B132</f>
        <v>RIEGO Y DISTRIBUCIÓN HIDRÁULICA</v>
      </c>
      <c r="D994">
        <f>Riego!F132</f>
        <v>63728</v>
      </c>
      <c r="E994" t="str">
        <f>Riego!G132</f>
        <v>PP COMPRES FT TEE C/REFUERZO HE 50X1 1/4</v>
      </c>
      <c r="F994">
        <f>Riego!H132</f>
        <v>1</v>
      </c>
      <c r="G994" t="str">
        <f>Riego!I132</f>
        <v>Bolsa</v>
      </c>
      <c r="H994">
        <f>IFERROR(IF(Riego!K132="",0,Riego!K132),0)</f>
        <v>0</v>
      </c>
      <c r="I994" s="58" t="str">
        <f>IF(H994&gt;0, MAX(I$1:I993)+1, "")</f>
        <v/>
      </c>
    </row>
    <row r="995" spans="1:9" x14ac:dyDescent="0.2">
      <c r="A995" t="s">
        <v>29</v>
      </c>
      <c r="B995" t="str">
        <f>Riego!A133</f>
        <v>Conducción Fluidos</v>
      </c>
      <c r="C995" t="str">
        <f>Riego!B133</f>
        <v>RIEGO Y DISTRIBUCIÓN HIDRÁULICA</v>
      </c>
      <c r="D995">
        <f>Riego!F133</f>
        <v>63729</v>
      </c>
      <c r="E995" t="str">
        <f>Riego!G133</f>
        <v>PP COMPRES FT TEE C/REFUERZO HE 50X1 1/2</v>
      </c>
      <c r="F995">
        <f>Riego!H133</f>
        <v>1</v>
      </c>
      <c r="G995" t="str">
        <f>Riego!I133</f>
        <v>Bolsa</v>
      </c>
      <c r="H995">
        <f>IFERROR(IF(Riego!K133="",0,Riego!K133),0)</f>
        <v>0</v>
      </c>
      <c r="I995" s="58" t="str">
        <f>IF(H995&gt;0, MAX(I$1:I994)+1, "")</f>
        <v/>
      </c>
    </row>
    <row r="996" spans="1:9" x14ac:dyDescent="0.2">
      <c r="A996" t="s">
        <v>29</v>
      </c>
      <c r="B996" t="str">
        <f>Riego!A134</f>
        <v>Conducción Fluidos</v>
      </c>
      <c r="C996" t="str">
        <f>Riego!B134</f>
        <v>RIEGO Y DISTRIBUCIÓN HIDRÁULICA</v>
      </c>
      <c r="D996">
        <f>Riego!F134</f>
        <v>63730</v>
      </c>
      <c r="E996" t="str">
        <f>Riego!G134</f>
        <v>PP COMPRES FT TEE C/REFUERZO HE 50X2</v>
      </c>
      <c r="F996">
        <f>Riego!H134</f>
        <v>1</v>
      </c>
      <c r="G996" t="str">
        <f>Riego!I134</f>
        <v>Bolsa</v>
      </c>
      <c r="H996">
        <f>IFERROR(IF(Riego!K134="",0,Riego!K134),0)</f>
        <v>0</v>
      </c>
      <c r="I996" s="58" t="str">
        <f>IF(H996&gt;0, MAX(I$1:I995)+1, "")</f>
        <v/>
      </c>
    </row>
    <row r="997" spans="1:9" x14ac:dyDescent="0.2">
      <c r="A997" t="s">
        <v>29</v>
      </c>
      <c r="B997" t="str">
        <f>Riego!A135</f>
        <v>Conducción Fluidos</v>
      </c>
      <c r="C997" t="str">
        <f>Riego!B135</f>
        <v>RIEGO Y DISTRIBUCIÓN HIDRÁULICA</v>
      </c>
      <c r="D997">
        <f>Riego!F135</f>
        <v>63731</v>
      </c>
      <c r="E997" t="str">
        <f>Riego!G135</f>
        <v>PP COMPRES FT TEE C/REFUERZO HE 63X1 1/4</v>
      </c>
      <c r="F997">
        <f>Riego!H135</f>
        <v>1</v>
      </c>
      <c r="G997" t="str">
        <f>Riego!I135</f>
        <v>Bolsa</v>
      </c>
      <c r="H997">
        <f>IFERROR(IF(Riego!K135="",0,Riego!K135),0)</f>
        <v>0</v>
      </c>
      <c r="I997" s="58" t="str">
        <f>IF(H997&gt;0, MAX(I$1:I996)+1, "")</f>
        <v/>
      </c>
    </row>
    <row r="998" spans="1:9" x14ac:dyDescent="0.2">
      <c r="A998" t="s">
        <v>29</v>
      </c>
      <c r="B998" t="str">
        <f>Riego!A136</f>
        <v>Conducción Fluidos</v>
      </c>
      <c r="C998" t="str">
        <f>Riego!B136</f>
        <v>RIEGO Y DISTRIBUCIÓN HIDRÁULICA</v>
      </c>
      <c r="D998">
        <f>Riego!F136</f>
        <v>63732</v>
      </c>
      <c r="E998" t="str">
        <f>Riego!G136</f>
        <v>PP COMPRES FT TEE C/REFUERZO HE 63X1 1/2</v>
      </c>
      <c r="F998">
        <f>Riego!H136</f>
        <v>1</v>
      </c>
      <c r="G998" t="str">
        <f>Riego!I136</f>
        <v>Bolsa</v>
      </c>
      <c r="H998">
        <f>IFERROR(IF(Riego!K136="",0,Riego!K136),0)</f>
        <v>0</v>
      </c>
      <c r="I998" s="58" t="str">
        <f>IF(H998&gt;0, MAX(I$1:I997)+1, "")</f>
        <v/>
      </c>
    </row>
    <row r="999" spans="1:9" x14ac:dyDescent="0.2">
      <c r="A999" t="s">
        <v>29</v>
      </c>
      <c r="B999" t="str">
        <f>Riego!A137</f>
        <v>Conducción Fluidos</v>
      </c>
      <c r="C999" t="str">
        <f>Riego!B137</f>
        <v>RIEGO Y DISTRIBUCIÓN HIDRÁULICA</v>
      </c>
      <c r="D999">
        <f>Riego!F137</f>
        <v>63733</v>
      </c>
      <c r="E999" t="str">
        <f>Riego!G137</f>
        <v>PP COMPRES FT TEE C/REFUERZO HE 63X2</v>
      </c>
      <c r="F999">
        <f>Riego!H137</f>
        <v>1</v>
      </c>
      <c r="G999" t="str">
        <f>Riego!I137</f>
        <v>Bolsa</v>
      </c>
      <c r="H999">
        <f>IFERROR(IF(Riego!K137="",0,Riego!K137),0)</f>
        <v>0</v>
      </c>
      <c r="I999" s="58" t="str">
        <f>IF(H999&gt;0, MAX(I$1:I998)+1, "")</f>
        <v/>
      </c>
    </row>
    <row r="1000" spans="1:9" x14ac:dyDescent="0.2">
      <c r="A1000" t="s">
        <v>29</v>
      </c>
      <c r="B1000" t="str">
        <f>Riego!A138</f>
        <v>Conducción Fluidos</v>
      </c>
      <c r="C1000" t="str">
        <f>Riego!B138</f>
        <v>RIEGO Y DISTRIBUCIÓN HIDRÁULICA</v>
      </c>
      <c r="D1000">
        <f>Riego!F138</f>
        <v>63301</v>
      </c>
      <c r="E1000" t="str">
        <f>Riego!G138</f>
        <v>PP COMPRES FT CODO 90° 20</v>
      </c>
      <c r="F1000">
        <f>Riego!H138</f>
        <v>20</v>
      </c>
      <c r="G1000" t="str">
        <f>Riego!I138</f>
        <v>Bolsa</v>
      </c>
      <c r="H1000">
        <f>IFERROR(IF(Riego!K138="",0,Riego!K138),0)</f>
        <v>0</v>
      </c>
      <c r="I1000" s="58" t="str">
        <f>IF(H1000&gt;0, MAX(I$1:I999)+1, "")</f>
        <v/>
      </c>
    </row>
    <row r="1001" spans="1:9" x14ac:dyDescent="0.2">
      <c r="A1001" t="s">
        <v>29</v>
      </c>
      <c r="B1001" t="str">
        <f>Riego!A139</f>
        <v>Conducción Fluidos</v>
      </c>
      <c r="C1001" t="str">
        <f>Riego!B139</f>
        <v>RIEGO Y DISTRIBUCIÓN HIDRÁULICA</v>
      </c>
      <c r="D1001">
        <f>Riego!F139</f>
        <v>63302</v>
      </c>
      <c r="E1001" t="str">
        <f>Riego!G139</f>
        <v>PP COMPRES FT CODO 90° 25</v>
      </c>
      <c r="F1001">
        <f>Riego!H139</f>
        <v>10</v>
      </c>
      <c r="G1001" t="str">
        <f>Riego!I139</f>
        <v>Bolsa</v>
      </c>
      <c r="H1001">
        <f>IFERROR(IF(Riego!K139="",0,Riego!K139),0)</f>
        <v>0</v>
      </c>
      <c r="I1001" s="58" t="str">
        <f>IF(H1001&gt;0, MAX(I$1:I1000)+1, "")</f>
        <v/>
      </c>
    </row>
    <row r="1002" spans="1:9" x14ac:dyDescent="0.2">
      <c r="A1002" t="s">
        <v>29</v>
      </c>
      <c r="B1002" t="str">
        <f>Riego!A140</f>
        <v>Conducción Fluidos</v>
      </c>
      <c r="C1002" t="str">
        <f>Riego!B140</f>
        <v>RIEGO Y DISTRIBUCIÓN HIDRÁULICA</v>
      </c>
      <c r="D1002">
        <f>Riego!F140</f>
        <v>63303</v>
      </c>
      <c r="E1002" t="str">
        <f>Riego!G140</f>
        <v>PP COMPRES FT CODO 90° 32</v>
      </c>
      <c r="F1002">
        <f>Riego!H140</f>
        <v>6</v>
      </c>
      <c r="G1002" t="str">
        <f>Riego!I140</f>
        <v>Bolsa</v>
      </c>
      <c r="H1002">
        <f>IFERROR(IF(Riego!K140="",0,Riego!K140),0)</f>
        <v>0</v>
      </c>
      <c r="I1002" s="58" t="str">
        <f>IF(H1002&gt;0, MAX(I$1:I1001)+1, "")</f>
        <v/>
      </c>
    </row>
    <row r="1003" spans="1:9" x14ac:dyDescent="0.2">
      <c r="A1003" t="s">
        <v>29</v>
      </c>
      <c r="B1003" t="str">
        <f>Riego!A141</f>
        <v>Conducción Fluidos</v>
      </c>
      <c r="C1003" t="str">
        <f>Riego!B141</f>
        <v>RIEGO Y DISTRIBUCIÓN HIDRÁULICA</v>
      </c>
      <c r="D1003">
        <f>Riego!F141</f>
        <v>63305</v>
      </c>
      <c r="E1003" t="str">
        <f>Riego!G141</f>
        <v>PP COMPRES FT CODO 90° 40</v>
      </c>
      <c r="F1003">
        <f>Riego!H141</f>
        <v>3</v>
      </c>
      <c r="G1003" t="str">
        <f>Riego!I141</f>
        <v>Bolsa</v>
      </c>
      <c r="H1003">
        <f>IFERROR(IF(Riego!K141="",0,Riego!K141),0)</f>
        <v>0</v>
      </c>
      <c r="I1003" s="58" t="str">
        <f>IF(H1003&gt;0, MAX(I$1:I1002)+1, "")</f>
        <v/>
      </c>
    </row>
    <row r="1004" spans="1:9" x14ac:dyDescent="0.2">
      <c r="A1004" t="s">
        <v>29</v>
      </c>
      <c r="B1004" t="str">
        <f>Riego!A142</f>
        <v>Conducción Fluidos</v>
      </c>
      <c r="C1004" t="str">
        <f>Riego!B142</f>
        <v>RIEGO Y DISTRIBUCIÓN HIDRÁULICA</v>
      </c>
      <c r="D1004">
        <f>Riego!F142</f>
        <v>63306</v>
      </c>
      <c r="E1004" t="str">
        <f>Riego!G142</f>
        <v>PP COMPRES FT CODO 90° 50</v>
      </c>
      <c r="F1004">
        <f>Riego!H142</f>
        <v>1</v>
      </c>
      <c r="G1004" t="str">
        <f>Riego!I142</f>
        <v>Bolsa</v>
      </c>
      <c r="H1004">
        <f>IFERROR(IF(Riego!K142="",0,Riego!K142),0)</f>
        <v>0</v>
      </c>
      <c r="I1004" s="58" t="str">
        <f>IF(H1004&gt;0, MAX(I$1:I1003)+1, "")</f>
        <v/>
      </c>
    </row>
    <row r="1005" spans="1:9" x14ac:dyDescent="0.2">
      <c r="A1005" t="s">
        <v>29</v>
      </c>
      <c r="B1005" t="str">
        <f>Riego!A143</f>
        <v>Conducción Fluidos</v>
      </c>
      <c r="C1005" t="str">
        <f>Riego!B143</f>
        <v>RIEGO Y DISTRIBUCIÓN HIDRÁULICA</v>
      </c>
      <c r="D1005">
        <f>Riego!F143</f>
        <v>63307</v>
      </c>
      <c r="E1005" t="str">
        <f>Riego!G143</f>
        <v>PP COMPRES FT CODO 90° 63</v>
      </c>
      <c r="F1005">
        <f>Riego!H143</f>
        <v>1</v>
      </c>
      <c r="G1005" t="str">
        <f>Riego!I143</f>
        <v>Bolsa</v>
      </c>
      <c r="H1005">
        <f>IFERROR(IF(Riego!K143="",0,Riego!K143),0)</f>
        <v>0</v>
      </c>
      <c r="I1005" s="58" t="str">
        <f>IF(H1005&gt;0, MAX(I$1:I1004)+1, "")</f>
        <v/>
      </c>
    </row>
    <row r="1006" spans="1:9" x14ac:dyDescent="0.2">
      <c r="A1006" t="s">
        <v>29</v>
      </c>
      <c r="B1006" t="str">
        <f>Riego!A144</f>
        <v>Conducción Fluidos</v>
      </c>
      <c r="C1006" t="str">
        <f>Riego!B144</f>
        <v>RIEGO Y DISTRIBUCIÓN HIDRÁULICA</v>
      </c>
      <c r="D1006">
        <f>Riego!F144</f>
        <v>63310</v>
      </c>
      <c r="E1006" t="str">
        <f>Riego!G144</f>
        <v>PP COMPRES FT CODO C/REFUERZO HI 20X1/2</v>
      </c>
      <c r="F1006">
        <f>Riego!H144</f>
        <v>30</v>
      </c>
      <c r="G1006" t="str">
        <f>Riego!I144</f>
        <v>Bolsa</v>
      </c>
      <c r="H1006">
        <f>IFERROR(IF(Riego!K144="",0,Riego!K144),0)</f>
        <v>0</v>
      </c>
      <c r="I1006" s="58" t="str">
        <f>IF(H1006&gt;0, MAX(I$1:I1005)+1, "")</f>
        <v/>
      </c>
    </row>
    <row r="1007" spans="1:9" x14ac:dyDescent="0.2">
      <c r="A1007" t="s">
        <v>29</v>
      </c>
      <c r="B1007" t="str">
        <f>Riego!A145</f>
        <v>Conducción Fluidos</v>
      </c>
      <c r="C1007" t="str">
        <f>Riego!B145</f>
        <v>RIEGO Y DISTRIBUCIÓN HIDRÁULICA</v>
      </c>
      <c r="D1007">
        <f>Riego!F145</f>
        <v>63311</v>
      </c>
      <c r="E1007" t="str">
        <f>Riego!G145</f>
        <v>PP COMPRES FT CODO C/REFUERZO HI 20X3/4</v>
      </c>
      <c r="F1007">
        <f>Riego!H145</f>
        <v>30</v>
      </c>
      <c r="G1007" t="str">
        <f>Riego!I145</f>
        <v>Bolsa</v>
      </c>
      <c r="H1007">
        <f>IFERROR(IF(Riego!K145="",0,Riego!K145),0)</f>
        <v>0</v>
      </c>
      <c r="I1007" s="58" t="str">
        <f>IF(H1007&gt;0, MAX(I$1:I1006)+1, "")</f>
        <v/>
      </c>
    </row>
    <row r="1008" spans="1:9" x14ac:dyDescent="0.2">
      <c r="A1008" t="s">
        <v>29</v>
      </c>
      <c r="B1008" t="str">
        <f>Riego!A146</f>
        <v>Conducción Fluidos</v>
      </c>
      <c r="C1008" t="str">
        <f>Riego!B146</f>
        <v>RIEGO Y DISTRIBUCIÓN HIDRÁULICA</v>
      </c>
      <c r="D1008">
        <f>Riego!F146</f>
        <v>63312</v>
      </c>
      <c r="E1008" t="str">
        <f>Riego!G146</f>
        <v>PP COMPRES FT CODO C/REFUERZO HI 20X1</v>
      </c>
      <c r="F1008">
        <f>Riego!H146</f>
        <v>30</v>
      </c>
      <c r="G1008" t="str">
        <f>Riego!I146</f>
        <v>Bolsa</v>
      </c>
      <c r="H1008">
        <f>IFERROR(IF(Riego!K146="",0,Riego!K146),0)</f>
        <v>0</v>
      </c>
      <c r="I1008" s="58" t="str">
        <f>IF(H1008&gt;0, MAX(I$1:I1007)+1, "")</f>
        <v/>
      </c>
    </row>
    <row r="1009" spans="1:9" x14ac:dyDescent="0.2">
      <c r="A1009" t="s">
        <v>29</v>
      </c>
      <c r="B1009" t="str">
        <f>Riego!A147</f>
        <v>Conducción Fluidos</v>
      </c>
      <c r="C1009" t="str">
        <f>Riego!B147</f>
        <v>RIEGO Y DISTRIBUCIÓN HIDRÁULICA</v>
      </c>
      <c r="D1009">
        <f>Riego!F147</f>
        <v>63313</v>
      </c>
      <c r="E1009" t="str">
        <f>Riego!G147</f>
        <v>PP COMPRES FT CODO C/REFUERZO HI 25X1/2</v>
      </c>
      <c r="F1009">
        <f>Riego!H147</f>
        <v>15</v>
      </c>
      <c r="G1009" t="str">
        <f>Riego!I147</f>
        <v>Bolsa</v>
      </c>
      <c r="H1009">
        <f>IFERROR(IF(Riego!K147="",0,Riego!K147),0)</f>
        <v>0</v>
      </c>
      <c r="I1009" s="58" t="str">
        <f>IF(H1009&gt;0, MAX(I$1:I1008)+1, "")</f>
        <v/>
      </c>
    </row>
    <row r="1010" spans="1:9" x14ac:dyDescent="0.2">
      <c r="A1010" t="s">
        <v>29</v>
      </c>
      <c r="B1010" t="str">
        <f>Riego!A148</f>
        <v>Conducción Fluidos</v>
      </c>
      <c r="C1010" t="str">
        <f>Riego!B148</f>
        <v>RIEGO Y DISTRIBUCIÓN HIDRÁULICA</v>
      </c>
      <c r="D1010">
        <f>Riego!F148</f>
        <v>63314</v>
      </c>
      <c r="E1010" t="str">
        <f>Riego!G148</f>
        <v>PP COMPRES FT CODO C/REFUERZO HI 25X3/4</v>
      </c>
      <c r="F1010">
        <f>Riego!H148</f>
        <v>15</v>
      </c>
      <c r="G1010" t="str">
        <f>Riego!I148</f>
        <v>Bolsa</v>
      </c>
      <c r="H1010">
        <f>IFERROR(IF(Riego!K148="",0,Riego!K148),0)</f>
        <v>0</v>
      </c>
      <c r="I1010" s="58" t="str">
        <f>IF(H1010&gt;0, MAX(I$1:I1009)+1, "")</f>
        <v/>
      </c>
    </row>
    <row r="1011" spans="1:9" x14ac:dyDescent="0.2">
      <c r="A1011" t="s">
        <v>29</v>
      </c>
      <c r="B1011" t="str">
        <f>Riego!A149</f>
        <v>Conducción Fluidos</v>
      </c>
      <c r="C1011" t="str">
        <f>Riego!B149</f>
        <v>RIEGO Y DISTRIBUCIÓN HIDRÁULICA</v>
      </c>
      <c r="D1011">
        <f>Riego!F149</f>
        <v>63315</v>
      </c>
      <c r="E1011" t="str">
        <f>Riego!G149</f>
        <v>PP COMPRES FT CODO C/REFUERZO HI 25X1</v>
      </c>
      <c r="F1011">
        <f>Riego!H149</f>
        <v>15</v>
      </c>
      <c r="G1011" t="str">
        <f>Riego!I149</f>
        <v>Bolsa</v>
      </c>
      <c r="H1011">
        <f>IFERROR(IF(Riego!K149="",0,Riego!K149),0)</f>
        <v>0</v>
      </c>
      <c r="I1011" s="58" t="str">
        <f>IF(H1011&gt;0, MAX(I$1:I1010)+1, "")</f>
        <v/>
      </c>
    </row>
    <row r="1012" spans="1:9" x14ac:dyDescent="0.2">
      <c r="A1012" t="s">
        <v>29</v>
      </c>
      <c r="B1012" t="str">
        <f>Riego!A150</f>
        <v>Conducción Fluidos</v>
      </c>
      <c r="C1012" t="str">
        <f>Riego!B150</f>
        <v>RIEGO Y DISTRIBUCIÓN HIDRÁULICA</v>
      </c>
      <c r="D1012">
        <f>Riego!F150</f>
        <v>63316</v>
      </c>
      <c r="E1012" t="str">
        <f>Riego!G150</f>
        <v>PP COMPRES FT CODO C/REFUERZO HI 32X1/2</v>
      </c>
      <c r="F1012">
        <f>Riego!H150</f>
        <v>10</v>
      </c>
      <c r="G1012" t="str">
        <f>Riego!I150</f>
        <v>Bolsa</v>
      </c>
      <c r="H1012">
        <f>IFERROR(IF(Riego!K150="",0,Riego!K150),0)</f>
        <v>0</v>
      </c>
      <c r="I1012" s="58" t="str">
        <f>IF(H1012&gt;0, MAX(I$1:I1011)+1, "")</f>
        <v/>
      </c>
    </row>
    <row r="1013" spans="1:9" x14ac:dyDescent="0.2">
      <c r="A1013" t="s">
        <v>29</v>
      </c>
      <c r="B1013" t="str">
        <f>Riego!A151</f>
        <v>Conducción Fluidos</v>
      </c>
      <c r="C1013" t="str">
        <f>Riego!B151</f>
        <v>RIEGO Y DISTRIBUCIÓN HIDRÁULICA</v>
      </c>
      <c r="D1013">
        <f>Riego!F151</f>
        <v>63317</v>
      </c>
      <c r="E1013" t="str">
        <f>Riego!G151</f>
        <v>PP COMPRES FT CODO C/REFUERZO HI 32X3/4</v>
      </c>
      <c r="F1013">
        <f>Riego!H151</f>
        <v>10</v>
      </c>
      <c r="G1013" t="str">
        <f>Riego!I151</f>
        <v>Bolsa</v>
      </c>
      <c r="H1013">
        <f>IFERROR(IF(Riego!K151="",0,Riego!K151),0)</f>
        <v>0</v>
      </c>
      <c r="I1013" s="58" t="str">
        <f>IF(H1013&gt;0, MAX(I$1:I1012)+1, "")</f>
        <v/>
      </c>
    </row>
    <row r="1014" spans="1:9" x14ac:dyDescent="0.2">
      <c r="A1014" t="s">
        <v>29</v>
      </c>
      <c r="B1014" t="str">
        <f>Riego!A152</f>
        <v>Conducción Fluidos</v>
      </c>
      <c r="C1014" t="str">
        <f>Riego!B152</f>
        <v>RIEGO Y DISTRIBUCIÓN HIDRÁULICA</v>
      </c>
      <c r="D1014">
        <f>Riego!F152</f>
        <v>63318</v>
      </c>
      <c r="E1014" t="str">
        <f>Riego!G152</f>
        <v>PP COMPRES FT CODO C/REFUERZO HI 32X1</v>
      </c>
      <c r="F1014">
        <f>Riego!H152</f>
        <v>10</v>
      </c>
      <c r="G1014" t="str">
        <f>Riego!I152</f>
        <v>Bolsa</v>
      </c>
      <c r="H1014">
        <f>IFERROR(IF(Riego!K152="",0,Riego!K152),0)</f>
        <v>0</v>
      </c>
      <c r="I1014" s="58" t="str">
        <f>IF(H1014&gt;0, MAX(I$1:I1013)+1, "")</f>
        <v/>
      </c>
    </row>
    <row r="1015" spans="1:9" x14ac:dyDescent="0.2">
      <c r="A1015" t="s">
        <v>29</v>
      </c>
      <c r="B1015" t="str">
        <f>Riego!A153</f>
        <v>Conducción Fluidos</v>
      </c>
      <c r="C1015" t="str">
        <f>Riego!B153</f>
        <v>RIEGO Y DISTRIBUCIÓN HIDRÁULICA</v>
      </c>
      <c r="D1015">
        <f>Riego!F153</f>
        <v>63319</v>
      </c>
      <c r="E1015" t="str">
        <f>Riego!G153</f>
        <v>PP COMPRES FT CODO C/REFUERZO HI 40X3/4</v>
      </c>
      <c r="F1015">
        <f>Riego!H153</f>
        <v>5</v>
      </c>
      <c r="G1015" t="str">
        <f>Riego!I153</f>
        <v>Bolsa</v>
      </c>
      <c r="H1015">
        <f>IFERROR(IF(Riego!K153="",0,Riego!K153),0)</f>
        <v>0</v>
      </c>
      <c r="I1015" s="58" t="str">
        <f>IF(H1015&gt;0, MAX(I$1:I1014)+1, "")</f>
        <v/>
      </c>
    </row>
    <row r="1016" spans="1:9" x14ac:dyDescent="0.2">
      <c r="A1016" t="s">
        <v>29</v>
      </c>
      <c r="B1016" t="str">
        <f>Riego!A154</f>
        <v>Conducción Fluidos</v>
      </c>
      <c r="C1016" t="str">
        <f>Riego!B154</f>
        <v>RIEGO Y DISTRIBUCIÓN HIDRÁULICA</v>
      </c>
      <c r="D1016">
        <f>Riego!F154</f>
        <v>63320</v>
      </c>
      <c r="E1016" t="str">
        <f>Riego!G154</f>
        <v>PP COMPRES FT CODO C/REFUERZO HI 40X1</v>
      </c>
      <c r="F1016">
        <f>Riego!H154</f>
        <v>5</v>
      </c>
      <c r="G1016" t="str">
        <f>Riego!I154</f>
        <v>Bolsa</v>
      </c>
      <c r="H1016">
        <f>IFERROR(IF(Riego!K154="",0,Riego!K154),0)</f>
        <v>0</v>
      </c>
      <c r="I1016" s="58" t="str">
        <f>IF(H1016&gt;0, MAX(I$1:I1015)+1, "")</f>
        <v/>
      </c>
    </row>
    <row r="1017" spans="1:9" x14ac:dyDescent="0.2">
      <c r="A1017" t="s">
        <v>29</v>
      </c>
      <c r="B1017" t="str">
        <f>Riego!A155</f>
        <v>Conducción Fluidos</v>
      </c>
      <c r="C1017" t="str">
        <f>Riego!B155</f>
        <v>RIEGO Y DISTRIBUCIÓN HIDRÁULICA</v>
      </c>
      <c r="D1017">
        <f>Riego!F155</f>
        <v>63321</v>
      </c>
      <c r="E1017" t="str">
        <f>Riego!G155</f>
        <v>PP COMPRES FT CODO C/REFUERZ HI 40X1 1/4</v>
      </c>
      <c r="F1017">
        <f>Riego!H155</f>
        <v>5</v>
      </c>
      <c r="G1017" t="str">
        <f>Riego!I155</f>
        <v>Bolsa</v>
      </c>
      <c r="H1017">
        <f>IFERROR(IF(Riego!K155="",0,Riego!K155),0)</f>
        <v>0</v>
      </c>
      <c r="I1017" s="58" t="str">
        <f>IF(H1017&gt;0, MAX(I$1:I1016)+1, "")</f>
        <v/>
      </c>
    </row>
    <row r="1018" spans="1:9" x14ac:dyDescent="0.2">
      <c r="A1018" t="s">
        <v>29</v>
      </c>
      <c r="B1018" t="str">
        <f>Riego!A156</f>
        <v>Conducción Fluidos</v>
      </c>
      <c r="C1018" t="str">
        <f>Riego!B156</f>
        <v>RIEGO Y DISTRIBUCIÓN HIDRÁULICA</v>
      </c>
      <c r="D1018">
        <f>Riego!F156</f>
        <v>63322</v>
      </c>
      <c r="E1018" t="str">
        <f>Riego!G156</f>
        <v>PP COMPRES FT CODO C/REFUERZ HI 50X1 1/4</v>
      </c>
      <c r="F1018">
        <f>Riego!H156</f>
        <v>1</v>
      </c>
      <c r="G1018" t="str">
        <f>Riego!I156</f>
        <v>Bolsa</v>
      </c>
      <c r="H1018">
        <f>IFERROR(IF(Riego!K156="",0,Riego!K156),0)</f>
        <v>0</v>
      </c>
      <c r="I1018" s="58" t="str">
        <f>IF(H1018&gt;0, MAX(I$1:I1017)+1, "")</f>
        <v/>
      </c>
    </row>
    <row r="1019" spans="1:9" x14ac:dyDescent="0.2">
      <c r="A1019" t="s">
        <v>29</v>
      </c>
      <c r="B1019" t="str">
        <f>Riego!A157</f>
        <v>Conducción Fluidos</v>
      </c>
      <c r="C1019" t="str">
        <f>Riego!B157</f>
        <v>RIEGO Y DISTRIBUCIÓN HIDRÁULICA</v>
      </c>
      <c r="D1019">
        <f>Riego!F157</f>
        <v>63323</v>
      </c>
      <c r="E1019" t="str">
        <f>Riego!G157</f>
        <v>PP COMPRES FT CODO C/REFUERZ HI 50X1 1/2</v>
      </c>
      <c r="F1019">
        <f>Riego!H157</f>
        <v>1</v>
      </c>
      <c r="G1019" t="str">
        <f>Riego!I157</f>
        <v>Bolsa</v>
      </c>
      <c r="H1019">
        <f>IFERROR(IF(Riego!K157="",0,Riego!K157),0)</f>
        <v>0</v>
      </c>
      <c r="I1019" s="58" t="str">
        <f>IF(H1019&gt;0, MAX(I$1:I1018)+1, "")</f>
        <v/>
      </c>
    </row>
    <row r="1020" spans="1:9" x14ac:dyDescent="0.2">
      <c r="A1020" t="s">
        <v>29</v>
      </c>
      <c r="B1020" t="str">
        <f>Riego!A158</f>
        <v>Conducción Fluidos</v>
      </c>
      <c r="C1020" t="str">
        <f>Riego!B158</f>
        <v>RIEGO Y DISTRIBUCIÓN HIDRÁULICA</v>
      </c>
      <c r="D1020">
        <f>Riego!F158</f>
        <v>63324</v>
      </c>
      <c r="E1020" t="str">
        <f>Riego!G158</f>
        <v>PP COMPRES FT CODO C/REFUERZ HI 63X1 1/2</v>
      </c>
      <c r="F1020">
        <f>Riego!H158</f>
        <v>1</v>
      </c>
      <c r="G1020" t="str">
        <f>Riego!I158</f>
        <v>Bolsa</v>
      </c>
      <c r="H1020">
        <f>IFERROR(IF(Riego!K158="",0,Riego!K158),0)</f>
        <v>0</v>
      </c>
      <c r="I1020" s="58" t="str">
        <f>IF(H1020&gt;0, MAX(I$1:I1019)+1, "")</f>
        <v/>
      </c>
    </row>
    <row r="1021" spans="1:9" x14ac:dyDescent="0.2">
      <c r="A1021" t="s">
        <v>29</v>
      </c>
      <c r="B1021" t="str">
        <f>Riego!A159</f>
        <v>Conducción Fluidos</v>
      </c>
      <c r="C1021" t="str">
        <f>Riego!B159</f>
        <v>RIEGO Y DISTRIBUCIÓN HIDRÁULICA</v>
      </c>
      <c r="D1021">
        <f>Riego!F159</f>
        <v>63325</v>
      </c>
      <c r="E1021" t="str">
        <f>Riego!G159</f>
        <v>PP COMPRES FT CODO C/REFUERZ HI 63X2</v>
      </c>
      <c r="F1021">
        <f>Riego!H159</f>
        <v>1</v>
      </c>
      <c r="G1021" t="str">
        <f>Riego!I159</f>
        <v>Bolsa</v>
      </c>
      <c r="H1021">
        <f>IFERROR(IF(Riego!K159="",0,Riego!K159),0)</f>
        <v>0</v>
      </c>
      <c r="I1021" s="58" t="str">
        <f>IF(H1021&gt;0, MAX(I$1:I1020)+1, "")</f>
        <v/>
      </c>
    </row>
    <row r="1022" spans="1:9" x14ac:dyDescent="0.2">
      <c r="A1022" t="s">
        <v>29</v>
      </c>
      <c r="B1022" t="str">
        <f>Riego!A160</f>
        <v>Conducción Fluidos</v>
      </c>
      <c r="C1022" t="str">
        <f>Riego!B160</f>
        <v>RIEGO Y DISTRIBUCIÓN HIDRÁULICA</v>
      </c>
      <c r="D1022">
        <f>Riego!F160</f>
        <v>63326</v>
      </c>
      <c r="E1022" t="str">
        <f>Riego!G160</f>
        <v>PP COMPRES FT CODO C/REFUERZ HI 63X2 1/2</v>
      </c>
      <c r="F1022">
        <f>Riego!H160</f>
        <v>1</v>
      </c>
      <c r="G1022" t="str">
        <f>Riego!I160</f>
        <v>Bolsa</v>
      </c>
      <c r="H1022">
        <f>IFERROR(IF(Riego!K160="",0,Riego!K160),0)</f>
        <v>0</v>
      </c>
      <c r="I1022" s="58" t="str">
        <f>IF(H1022&gt;0, MAX(I$1:I1021)+1, "")</f>
        <v/>
      </c>
    </row>
    <row r="1023" spans="1:9" x14ac:dyDescent="0.2">
      <c r="A1023" t="s">
        <v>29</v>
      </c>
      <c r="B1023" t="str">
        <f>Riego!A161</f>
        <v>Conducción Fluidos</v>
      </c>
      <c r="C1023" t="str">
        <f>Riego!B161</f>
        <v>RIEGO Y DISTRIBUCIÓN HIDRÁULICA</v>
      </c>
      <c r="D1023">
        <f>Riego!F161</f>
        <v>63330</v>
      </c>
      <c r="E1023" t="str">
        <f>Riego!G161</f>
        <v>PP COMPRES FT CODO HE 20X1/2</v>
      </c>
      <c r="F1023">
        <f>Riego!H161</f>
        <v>30</v>
      </c>
      <c r="G1023" t="str">
        <f>Riego!I161</f>
        <v>Bolsa</v>
      </c>
      <c r="H1023">
        <f>IFERROR(IF(Riego!K161="",0,Riego!K161),0)</f>
        <v>0</v>
      </c>
      <c r="I1023" s="58" t="str">
        <f>IF(H1023&gt;0, MAX(I$1:I1022)+1, "")</f>
        <v/>
      </c>
    </row>
    <row r="1024" spans="1:9" x14ac:dyDescent="0.2">
      <c r="A1024" t="s">
        <v>29</v>
      </c>
      <c r="B1024" t="str">
        <f>Riego!A162</f>
        <v>Conducción Fluidos</v>
      </c>
      <c r="C1024" t="str">
        <f>Riego!B162</f>
        <v>RIEGO Y DISTRIBUCIÓN HIDRÁULICA</v>
      </c>
      <c r="D1024">
        <f>Riego!F162</f>
        <v>63331</v>
      </c>
      <c r="E1024" t="str">
        <f>Riego!G162</f>
        <v>PP COMPRES FT CODO HE 20X3/4</v>
      </c>
      <c r="F1024">
        <f>Riego!H162</f>
        <v>30</v>
      </c>
      <c r="G1024" t="str">
        <f>Riego!I162</f>
        <v>Bolsa</v>
      </c>
      <c r="H1024">
        <f>IFERROR(IF(Riego!K162="",0,Riego!K162),0)</f>
        <v>0</v>
      </c>
      <c r="I1024" s="58" t="str">
        <f>IF(H1024&gt;0, MAX(I$1:I1023)+1, "")</f>
        <v/>
      </c>
    </row>
    <row r="1025" spans="1:9" x14ac:dyDescent="0.2">
      <c r="A1025" t="s">
        <v>29</v>
      </c>
      <c r="B1025" t="str">
        <f>Riego!A163</f>
        <v>Conducción Fluidos</v>
      </c>
      <c r="C1025" t="str">
        <f>Riego!B163</f>
        <v>RIEGO Y DISTRIBUCIÓN HIDRÁULICA</v>
      </c>
      <c r="D1025">
        <f>Riego!F163</f>
        <v>63332</v>
      </c>
      <c r="E1025" t="str">
        <f>Riego!G163</f>
        <v>PP COMPRES FT CODO HE 20X1</v>
      </c>
      <c r="F1025">
        <f>Riego!H163</f>
        <v>30</v>
      </c>
      <c r="G1025" t="str">
        <f>Riego!I163</f>
        <v>Bolsa</v>
      </c>
      <c r="H1025">
        <f>IFERROR(IF(Riego!K163="",0,Riego!K163),0)</f>
        <v>0</v>
      </c>
      <c r="I1025" s="58" t="str">
        <f>IF(H1025&gt;0, MAX(I$1:I1024)+1, "")</f>
        <v/>
      </c>
    </row>
    <row r="1026" spans="1:9" x14ac:dyDescent="0.2">
      <c r="A1026" t="s">
        <v>29</v>
      </c>
      <c r="B1026" t="str">
        <f>Riego!A164</f>
        <v>Conducción Fluidos</v>
      </c>
      <c r="C1026" t="str">
        <f>Riego!B164</f>
        <v>RIEGO Y DISTRIBUCIÓN HIDRÁULICA</v>
      </c>
      <c r="D1026">
        <f>Riego!F164</f>
        <v>63304</v>
      </c>
      <c r="E1026" t="str">
        <f>Riego!G164</f>
        <v>PP COMPRES FT CODO HE 25 X 1/2</v>
      </c>
      <c r="F1026">
        <f>Riego!H164</f>
        <v>20</v>
      </c>
      <c r="G1026" t="str">
        <f>Riego!I164</f>
        <v>Bolsa</v>
      </c>
      <c r="H1026">
        <f>IFERROR(IF(Riego!K164="",0,Riego!K164),0)</f>
        <v>0</v>
      </c>
      <c r="I1026" s="58" t="str">
        <f>IF(H1026&gt;0, MAX(I$1:I1025)+1, "")</f>
        <v/>
      </c>
    </row>
    <row r="1027" spans="1:9" x14ac:dyDescent="0.2">
      <c r="A1027" t="s">
        <v>29</v>
      </c>
      <c r="B1027" t="str">
        <f>Riego!A165</f>
        <v>Conducción Fluidos</v>
      </c>
      <c r="C1027" t="str">
        <f>Riego!B165</f>
        <v>RIEGO Y DISTRIBUCIÓN HIDRÁULICA</v>
      </c>
      <c r="D1027">
        <f>Riego!F165</f>
        <v>63333</v>
      </c>
      <c r="E1027" t="str">
        <f>Riego!G165</f>
        <v>PP COMPRES FT CODO HE 25X3/4</v>
      </c>
      <c r="F1027">
        <f>Riego!H165</f>
        <v>20</v>
      </c>
      <c r="G1027" t="str">
        <f>Riego!I165</f>
        <v>Bolsa</v>
      </c>
      <c r="H1027">
        <f>IFERROR(IF(Riego!K165="",0,Riego!K165),0)</f>
        <v>0</v>
      </c>
      <c r="I1027" s="58" t="str">
        <f>IF(H1027&gt;0, MAX(I$1:I1026)+1, "")</f>
        <v/>
      </c>
    </row>
    <row r="1028" spans="1:9" x14ac:dyDescent="0.2">
      <c r="A1028" t="s">
        <v>29</v>
      </c>
      <c r="B1028" t="str">
        <f>Riego!A166</f>
        <v>Conducción Fluidos</v>
      </c>
      <c r="C1028" t="str">
        <f>Riego!B166</f>
        <v>RIEGO Y DISTRIBUCIÓN HIDRÁULICA</v>
      </c>
      <c r="D1028">
        <f>Riego!F166</f>
        <v>63334</v>
      </c>
      <c r="E1028" t="str">
        <f>Riego!G166</f>
        <v>PP COMPRES FT CODO HE 25X1</v>
      </c>
      <c r="F1028">
        <f>Riego!H166</f>
        <v>15</v>
      </c>
      <c r="G1028" t="str">
        <f>Riego!I166</f>
        <v>Bolsa</v>
      </c>
      <c r="H1028">
        <f>IFERROR(IF(Riego!K166="",0,Riego!K166),0)</f>
        <v>0</v>
      </c>
      <c r="I1028" s="58" t="str">
        <f>IF(H1028&gt;0, MAX(I$1:I1027)+1, "")</f>
        <v/>
      </c>
    </row>
    <row r="1029" spans="1:9" x14ac:dyDescent="0.2">
      <c r="A1029" t="s">
        <v>29</v>
      </c>
      <c r="B1029" t="str">
        <f>Riego!A167</f>
        <v>Conducción Fluidos</v>
      </c>
      <c r="C1029" t="str">
        <f>Riego!B167</f>
        <v>RIEGO Y DISTRIBUCIÓN HIDRÁULICA</v>
      </c>
      <c r="D1029">
        <f>Riego!F167</f>
        <v>63335</v>
      </c>
      <c r="E1029" t="str">
        <f>Riego!G167</f>
        <v>PP COMPRES FT CODO HE 32X1/2</v>
      </c>
      <c r="F1029">
        <f>Riego!H167</f>
        <v>10</v>
      </c>
      <c r="G1029" t="str">
        <f>Riego!I167</f>
        <v>Bolsa</v>
      </c>
      <c r="H1029">
        <f>IFERROR(IF(Riego!K167="",0,Riego!K167),0)</f>
        <v>0</v>
      </c>
      <c r="I1029" s="58" t="str">
        <f>IF(H1029&gt;0, MAX(I$1:I1028)+1, "")</f>
        <v/>
      </c>
    </row>
    <row r="1030" spans="1:9" x14ac:dyDescent="0.2">
      <c r="A1030" t="s">
        <v>29</v>
      </c>
      <c r="B1030" t="str">
        <f>Riego!A168</f>
        <v>Conducción Fluidos</v>
      </c>
      <c r="C1030" t="str">
        <f>Riego!B168</f>
        <v>RIEGO Y DISTRIBUCIÓN HIDRÁULICA</v>
      </c>
      <c r="D1030">
        <f>Riego!F168</f>
        <v>63336</v>
      </c>
      <c r="E1030" t="str">
        <f>Riego!G168</f>
        <v>PP COMPRES FT CODO HE 32X3/4</v>
      </c>
      <c r="F1030">
        <f>Riego!H168</f>
        <v>10</v>
      </c>
      <c r="G1030" t="str">
        <f>Riego!I168</f>
        <v>Bolsa</v>
      </c>
      <c r="H1030">
        <f>IFERROR(IF(Riego!K168="",0,Riego!K168),0)</f>
        <v>0</v>
      </c>
      <c r="I1030" s="58" t="str">
        <f>IF(H1030&gt;0, MAX(I$1:I1029)+1, "")</f>
        <v/>
      </c>
    </row>
    <row r="1031" spans="1:9" x14ac:dyDescent="0.2">
      <c r="A1031" t="s">
        <v>29</v>
      </c>
      <c r="B1031" t="str">
        <f>Riego!A169</f>
        <v>Conducción Fluidos</v>
      </c>
      <c r="C1031" t="str">
        <f>Riego!B169</f>
        <v>RIEGO Y DISTRIBUCIÓN HIDRÁULICA</v>
      </c>
      <c r="D1031">
        <f>Riego!F169</f>
        <v>63337</v>
      </c>
      <c r="E1031" t="str">
        <f>Riego!G169</f>
        <v>PP COMPRES FT CODO HE 32X1</v>
      </c>
      <c r="F1031">
        <f>Riego!H169</f>
        <v>10</v>
      </c>
      <c r="G1031" t="str">
        <f>Riego!I169</f>
        <v>Bolsa</v>
      </c>
      <c r="H1031">
        <f>IFERROR(IF(Riego!K169="",0,Riego!K169),0)</f>
        <v>0</v>
      </c>
      <c r="I1031" s="58" t="str">
        <f>IF(H1031&gt;0, MAX(I$1:I1030)+1, "")</f>
        <v/>
      </c>
    </row>
    <row r="1032" spans="1:9" x14ac:dyDescent="0.2">
      <c r="A1032" t="s">
        <v>29</v>
      </c>
      <c r="B1032" t="str">
        <f>Riego!A170</f>
        <v>Conducción Fluidos</v>
      </c>
      <c r="C1032" t="str">
        <f>Riego!B170</f>
        <v>RIEGO Y DISTRIBUCIÓN HIDRÁULICA</v>
      </c>
      <c r="D1032">
        <f>Riego!F170</f>
        <v>63338</v>
      </c>
      <c r="E1032" t="str">
        <f>Riego!G170</f>
        <v>PP COMPRES FT CODO HE 32X1 1/4</v>
      </c>
      <c r="F1032">
        <f>Riego!H170</f>
        <v>10</v>
      </c>
      <c r="G1032" t="str">
        <f>Riego!I170</f>
        <v>Bolsa</v>
      </c>
      <c r="H1032">
        <f>IFERROR(IF(Riego!K170="",0,Riego!K170),0)</f>
        <v>0</v>
      </c>
      <c r="I1032" s="58" t="str">
        <f>IF(H1032&gt;0, MAX(I$1:I1031)+1, "")</f>
        <v/>
      </c>
    </row>
    <row r="1033" spans="1:9" x14ac:dyDescent="0.2">
      <c r="A1033" t="s">
        <v>29</v>
      </c>
      <c r="B1033" t="str">
        <f>Riego!A171</f>
        <v>Conducción Fluidos</v>
      </c>
      <c r="C1033" t="str">
        <f>Riego!B171</f>
        <v>RIEGO Y DISTRIBUCIÓN HIDRÁULICA</v>
      </c>
      <c r="D1033">
        <f>Riego!F171</f>
        <v>63339</v>
      </c>
      <c r="E1033" t="str">
        <f>Riego!G171</f>
        <v>PP COMPRES FT CODO HE 40X1</v>
      </c>
      <c r="F1033">
        <f>Riego!H171</f>
        <v>5</v>
      </c>
      <c r="G1033" t="str">
        <f>Riego!I171</f>
        <v>Bolsa</v>
      </c>
      <c r="H1033">
        <f>IFERROR(IF(Riego!K171="",0,Riego!K171),0)</f>
        <v>0</v>
      </c>
      <c r="I1033" s="58" t="str">
        <f>IF(H1033&gt;0, MAX(I$1:I1032)+1, "")</f>
        <v/>
      </c>
    </row>
    <row r="1034" spans="1:9" x14ac:dyDescent="0.2">
      <c r="A1034" t="s">
        <v>29</v>
      </c>
      <c r="B1034" t="str">
        <f>Riego!A172</f>
        <v>Conducción Fluidos</v>
      </c>
      <c r="C1034" t="str">
        <f>Riego!B172</f>
        <v>RIEGO Y DISTRIBUCIÓN HIDRÁULICA</v>
      </c>
      <c r="D1034">
        <f>Riego!F172</f>
        <v>63340</v>
      </c>
      <c r="E1034" t="str">
        <f>Riego!G172</f>
        <v>PP COMPRES FT CODO HE 40X1 1/4</v>
      </c>
      <c r="F1034">
        <f>Riego!H172</f>
        <v>5</v>
      </c>
      <c r="G1034" t="str">
        <f>Riego!I172</f>
        <v>Bolsa</v>
      </c>
      <c r="H1034">
        <f>IFERROR(IF(Riego!K172="",0,Riego!K172),0)</f>
        <v>0</v>
      </c>
      <c r="I1034" s="58" t="str">
        <f>IF(H1034&gt;0, MAX(I$1:I1033)+1, "")</f>
        <v/>
      </c>
    </row>
    <row r="1035" spans="1:9" x14ac:dyDescent="0.2">
      <c r="A1035" t="s">
        <v>29</v>
      </c>
      <c r="B1035" t="str">
        <f>Riego!A173</f>
        <v>Conducción Fluidos</v>
      </c>
      <c r="C1035" t="str">
        <f>Riego!B173</f>
        <v>RIEGO Y DISTRIBUCIÓN HIDRÁULICA</v>
      </c>
      <c r="D1035">
        <f>Riego!F173</f>
        <v>63341</v>
      </c>
      <c r="E1035" t="str">
        <f>Riego!G173</f>
        <v>PP COMPRES FT CODO HE 40X1 1/2</v>
      </c>
      <c r="F1035">
        <f>Riego!H173</f>
        <v>5</v>
      </c>
      <c r="G1035" t="str">
        <f>Riego!I173</f>
        <v>Bolsa</v>
      </c>
      <c r="H1035">
        <f>IFERROR(IF(Riego!K173="",0,Riego!K173),0)</f>
        <v>0</v>
      </c>
      <c r="I1035" s="58" t="str">
        <f>IF(H1035&gt;0, MAX(I$1:I1034)+1, "")</f>
        <v/>
      </c>
    </row>
    <row r="1036" spans="1:9" x14ac:dyDescent="0.2">
      <c r="A1036" t="s">
        <v>29</v>
      </c>
      <c r="B1036" t="str">
        <f>Riego!A174</f>
        <v>Conducción Fluidos</v>
      </c>
      <c r="C1036" t="str">
        <f>Riego!B174</f>
        <v>RIEGO Y DISTRIBUCIÓN HIDRÁULICA</v>
      </c>
      <c r="D1036">
        <f>Riego!F174</f>
        <v>63342</v>
      </c>
      <c r="E1036" t="str">
        <f>Riego!G174</f>
        <v>PP COMPRES FT CODO HE 50X1 1/4</v>
      </c>
      <c r="F1036">
        <f>Riego!H174</f>
        <v>1</v>
      </c>
      <c r="G1036" t="str">
        <f>Riego!I174</f>
        <v>Bolsa</v>
      </c>
      <c r="H1036">
        <f>IFERROR(IF(Riego!K174="",0,Riego!K174),0)</f>
        <v>0</v>
      </c>
      <c r="I1036" s="58" t="str">
        <f>IF(H1036&gt;0, MAX(I$1:I1035)+1, "")</f>
        <v/>
      </c>
    </row>
    <row r="1037" spans="1:9" x14ac:dyDescent="0.2">
      <c r="A1037" t="s">
        <v>29</v>
      </c>
      <c r="B1037" t="str">
        <f>Riego!A175</f>
        <v>Conducción Fluidos</v>
      </c>
      <c r="C1037" t="str">
        <f>Riego!B175</f>
        <v>RIEGO Y DISTRIBUCIÓN HIDRÁULICA</v>
      </c>
      <c r="D1037">
        <f>Riego!F175</f>
        <v>63343</v>
      </c>
      <c r="E1037" t="str">
        <f>Riego!G175</f>
        <v>PP COMPRES FT CODO HE 50X1 1/2</v>
      </c>
      <c r="F1037">
        <f>Riego!H175</f>
        <v>1</v>
      </c>
      <c r="G1037" t="str">
        <f>Riego!I175</f>
        <v>Bolsa</v>
      </c>
      <c r="H1037">
        <f>IFERROR(IF(Riego!K175="",0,Riego!K175),0)</f>
        <v>0</v>
      </c>
      <c r="I1037" s="58" t="str">
        <f>IF(H1037&gt;0, MAX(I$1:I1036)+1, "")</f>
        <v/>
      </c>
    </row>
    <row r="1038" spans="1:9" x14ac:dyDescent="0.2">
      <c r="A1038" t="s">
        <v>29</v>
      </c>
      <c r="B1038" t="str">
        <f>Riego!A176</f>
        <v>Conducción Fluidos</v>
      </c>
      <c r="C1038" t="str">
        <f>Riego!B176</f>
        <v>RIEGO Y DISTRIBUCIÓN HIDRÁULICA</v>
      </c>
      <c r="D1038">
        <f>Riego!F176</f>
        <v>63344</v>
      </c>
      <c r="E1038" t="str">
        <f>Riego!G176</f>
        <v>PP COMPRES FT CODO HE 50X2</v>
      </c>
      <c r="F1038">
        <f>Riego!H176</f>
        <v>1</v>
      </c>
      <c r="G1038" t="str">
        <f>Riego!I176</f>
        <v>Bolsa</v>
      </c>
      <c r="H1038">
        <f>IFERROR(IF(Riego!K176="",0,Riego!K176),0)</f>
        <v>0</v>
      </c>
      <c r="I1038" s="58" t="str">
        <f>IF(H1038&gt;0, MAX(I$1:I1037)+1, "")</f>
        <v/>
      </c>
    </row>
    <row r="1039" spans="1:9" x14ac:dyDescent="0.2">
      <c r="A1039" t="s">
        <v>29</v>
      </c>
      <c r="B1039" t="str">
        <f>Riego!A177</f>
        <v>Conducción Fluidos</v>
      </c>
      <c r="C1039" t="str">
        <f>Riego!B177</f>
        <v>RIEGO Y DISTRIBUCIÓN HIDRÁULICA</v>
      </c>
      <c r="D1039">
        <f>Riego!F177</f>
        <v>63345</v>
      </c>
      <c r="E1039" t="str">
        <f>Riego!G177</f>
        <v>PP COMPRES FT CODO HE 63X1 1/4</v>
      </c>
      <c r="F1039">
        <f>Riego!H177</f>
        <v>1</v>
      </c>
      <c r="G1039" t="str">
        <f>Riego!I177</f>
        <v>Bolsa</v>
      </c>
      <c r="H1039">
        <f>IFERROR(IF(Riego!K177="",0,Riego!K177),0)</f>
        <v>0</v>
      </c>
      <c r="I1039" s="58" t="str">
        <f>IF(H1039&gt;0, MAX(I$1:I1038)+1, "")</f>
        <v/>
      </c>
    </row>
    <row r="1040" spans="1:9" x14ac:dyDescent="0.2">
      <c r="A1040" t="s">
        <v>29</v>
      </c>
      <c r="B1040" t="str">
        <f>Riego!A178</f>
        <v>Conducción Fluidos</v>
      </c>
      <c r="C1040" t="str">
        <f>Riego!B178</f>
        <v>RIEGO Y DISTRIBUCIÓN HIDRÁULICA</v>
      </c>
      <c r="D1040">
        <f>Riego!F178</f>
        <v>63346</v>
      </c>
      <c r="E1040" t="str">
        <f>Riego!G178</f>
        <v>PP COMPRES FT CODO HE 63X1 1/2</v>
      </c>
      <c r="F1040">
        <f>Riego!H178</f>
        <v>1</v>
      </c>
      <c r="G1040" t="str">
        <f>Riego!I178</f>
        <v>Bolsa</v>
      </c>
      <c r="H1040">
        <f>IFERROR(IF(Riego!K178="",0,Riego!K178),0)</f>
        <v>0</v>
      </c>
      <c r="I1040" s="58" t="str">
        <f>IF(H1040&gt;0, MAX(I$1:I1039)+1, "")</f>
        <v/>
      </c>
    </row>
    <row r="1041" spans="1:9" x14ac:dyDescent="0.2">
      <c r="A1041" t="s">
        <v>29</v>
      </c>
      <c r="B1041" t="str">
        <f>Riego!A179</f>
        <v>Conducción Fluidos</v>
      </c>
      <c r="C1041" t="str">
        <f>Riego!B179</f>
        <v>RIEGO Y DISTRIBUCIÓN HIDRÁULICA</v>
      </c>
      <c r="D1041">
        <f>Riego!F179</f>
        <v>63347</v>
      </c>
      <c r="E1041" t="str">
        <f>Riego!G179</f>
        <v>PP COMPRES FT CODO HE 63X2</v>
      </c>
      <c r="F1041">
        <f>Riego!H179</f>
        <v>1</v>
      </c>
      <c r="G1041" t="str">
        <f>Riego!I179</f>
        <v>Bolsa</v>
      </c>
      <c r="H1041">
        <f>IFERROR(IF(Riego!K179="",0,Riego!K179),0)</f>
        <v>0</v>
      </c>
      <c r="I1041" s="58" t="str">
        <f>IF(H1041&gt;0, MAX(I$1:I1040)+1, "")</f>
        <v/>
      </c>
    </row>
    <row r="1042" spans="1:9" x14ac:dyDescent="0.2">
      <c r="A1042" t="s">
        <v>29</v>
      </c>
      <c r="B1042" t="str">
        <f>Riego!A180</f>
        <v>Conducción Fluidos</v>
      </c>
      <c r="C1042" t="str">
        <f>Riego!B180</f>
        <v>RIEGO Y DISTRIBUCIÓN HIDRÁULICA</v>
      </c>
      <c r="D1042">
        <f>Riego!F180</f>
        <v>63348</v>
      </c>
      <c r="E1042" t="str">
        <f>Riego!G180</f>
        <v>PP COMPRES FT CODO HE 63X2 1/2</v>
      </c>
      <c r="F1042">
        <f>Riego!H180</f>
        <v>1</v>
      </c>
      <c r="G1042" t="str">
        <f>Riego!I180</f>
        <v>Bolsa</v>
      </c>
      <c r="H1042">
        <f>IFERROR(IF(Riego!K180="",0,Riego!K180),0)</f>
        <v>0</v>
      </c>
      <c r="I1042" s="58" t="str">
        <f>IF(H1042&gt;0, MAX(I$1:I1041)+1, "")</f>
        <v/>
      </c>
    </row>
    <row r="1043" spans="1:9" x14ac:dyDescent="0.2">
      <c r="A1043" t="s">
        <v>29</v>
      </c>
      <c r="B1043" t="str">
        <f>Riego!A181</f>
        <v>Conducción Fluidos</v>
      </c>
      <c r="C1043" t="str">
        <f>Riego!B181</f>
        <v>RIEGO Y DISTRIBUCIÓN HIDRÁULICA</v>
      </c>
      <c r="D1043">
        <f>Riego!F181</f>
        <v>63430</v>
      </c>
      <c r="E1043" t="str">
        <f>Riego!G181</f>
        <v>PP COMPRES FT COPLA HI 20X1/2</v>
      </c>
      <c r="F1043">
        <f>Riego!H181</f>
        <v>20</v>
      </c>
      <c r="G1043" t="str">
        <f>Riego!I181</f>
        <v>Bolsa</v>
      </c>
      <c r="H1043">
        <f>IFERROR(IF(Riego!K181="",0,Riego!K181),0)</f>
        <v>0</v>
      </c>
      <c r="I1043" s="58" t="str">
        <f>IF(H1043&gt;0, MAX(I$1:I1042)+1, "")</f>
        <v/>
      </c>
    </row>
    <row r="1044" spans="1:9" x14ac:dyDescent="0.2">
      <c r="A1044" t="s">
        <v>29</v>
      </c>
      <c r="B1044" t="str">
        <f>Riego!A182</f>
        <v>Conducción Fluidos</v>
      </c>
      <c r="C1044" t="str">
        <f>Riego!B182</f>
        <v>RIEGO Y DISTRIBUCIÓN HIDRÁULICA</v>
      </c>
      <c r="D1044">
        <f>Riego!F182</f>
        <v>63431</v>
      </c>
      <c r="E1044" t="str">
        <f>Riego!G182</f>
        <v>PP COMPRES FT COPLA HI 25X3/4</v>
      </c>
      <c r="F1044">
        <f>Riego!H182</f>
        <v>15</v>
      </c>
      <c r="G1044" t="str">
        <f>Riego!I182</f>
        <v>Bolsa</v>
      </c>
      <c r="H1044">
        <f>IFERROR(IF(Riego!K182="",0,Riego!K182),0)</f>
        <v>0</v>
      </c>
      <c r="I1044" s="58" t="str">
        <f>IF(H1044&gt;0, MAX(I$1:I1043)+1, "")</f>
        <v/>
      </c>
    </row>
    <row r="1045" spans="1:9" x14ac:dyDescent="0.2">
      <c r="A1045" t="s">
        <v>29</v>
      </c>
      <c r="B1045" t="str">
        <f>Riego!A183</f>
        <v>Conducción Fluidos</v>
      </c>
      <c r="C1045" t="str">
        <f>Riego!B183</f>
        <v>RIEGO Y DISTRIBUCIÓN HIDRÁULICA</v>
      </c>
      <c r="D1045">
        <f>Riego!F183</f>
        <v>63432</v>
      </c>
      <c r="E1045" t="str">
        <f>Riego!G183</f>
        <v>PP COMPRES FT COPLA HI 32X3/4</v>
      </c>
      <c r="F1045">
        <f>Riego!H183</f>
        <v>10</v>
      </c>
      <c r="G1045" t="str">
        <f>Riego!I183</f>
        <v>Bolsa</v>
      </c>
      <c r="H1045">
        <f>IFERROR(IF(Riego!K183="",0,Riego!K183),0)</f>
        <v>0</v>
      </c>
      <c r="I1045" s="58" t="str">
        <f>IF(H1045&gt;0, MAX(I$1:I1044)+1, "")</f>
        <v/>
      </c>
    </row>
    <row r="1046" spans="1:9" x14ac:dyDescent="0.2">
      <c r="A1046" t="s">
        <v>29</v>
      </c>
      <c r="B1046" t="str">
        <f>Riego!A184</f>
        <v>Conducción Fluidos</v>
      </c>
      <c r="C1046" t="str">
        <f>Riego!B184</f>
        <v>RIEGO Y DISTRIBUCIÓN HIDRÁULICA</v>
      </c>
      <c r="D1046">
        <f>Riego!F184</f>
        <v>63433</v>
      </c>
      <c r="E1046" t="str">
        <f>Riego!G184</f>
        <v>PP COMPRES FT COPLA HI 32X1</v>
      </c>
      <c r="F1046">
        <f>Riego!H184</f>
        <v>10</v>
      </c>
      <c r="G1046" t="str">
        <f>Riego!I184</f>
        <v>Bolsa</v>
      </c>
      <c r="H1046">
        <f>IFERROR(IF(Riego!K184="",0,Riego!K184),0)</f>
        <v>0</v>
      </c>
      <c r="I1046" s="58" t="str">
        <f>IF(H1046&gt;0, MAX(I$1:I1045)+1, "")</f>
        <v/>
      </c>
    </row>
    <row r="1047" spans="1:9" x14ac:dyDescent="0.2">
      <c r="A1047" t="s">
        <v>29</v>
      </c>
      <c r="B1047" t="str">
        <f>Riego!A185</f>
        <v>Conducción Fluidos</v>
      </c>
      <c r="C1047" t="str">
        <f>Riego!B185</f>
        <v>RIEGO Y DISTRIBUCIÓN HIDRÁULICA</v>
      </c>
      <c r="D1047">
        <f>Riego!F185</f>
        <v>63434</v>
      </c>
      <c r="E1047" t="str">
        <f>Riego!G185</f>
        <v>PP COMPRES FT COPLA HI 40X1 1/4</v>
      </c>
      <c r="F1047">
        <f>Riego!H185</f>
        <v>4</v>
      </c>
      <c r="G1047" t="str">
        <f>Riego!I185</f>
        <v>Bolsa</v>
      </c>
      <c r="H1047">
        <f>IFERROR(IF(Riego!K185="",0,Riego!K185),0)</f>
        <v>0</v>
      </c>
      <c r="I1047" s="58" t="str">
        <f>IF(H1047&gt;0, MAX(I$1:I1046)+1, "")</f>
        <v/>
      </c>
    </row>
    <row r="1048" spans="1:9" x14ac:dyDescent="0.2">
      <c r="A1048" t="s">
        <v>29</v>
      </c>
      <c r="B1048" t="str">
        <f>Riego!A186</f>
        <v>Conducción Fluidos</v>
      </c>
      <c r="C1048" t="str">
        <f>Riego!B186</f>
        <v>RIEGO Y DISTRIBUCIÓN HIDRÁULICA</v>
      </c>
      <c r="D1048">
        <f>Riego!F186</f>
        <v>63435</v>
      </c>
      <c r="E1048" t="str">
        <f>Riego!G186</f>
        <v>PP COMPRES FT COPLA HI 50X1 1/2</v>
      </c>
      <c r="F1048">
        <f>Riego!H186</f>
        <v>3</v>
      </c>
      <c r="G1048" t="str">
        <f>Riego!I186</f>
        <v>Bolsa</v>
      </c>
      <c r="H1048">
        <f>IFERROR(IF(Riego!K186="",0,Riego!K186),0)</f>
        <v>0</v>
      </c>
      <c r="I1048" s="58" t="str">
        <f>IF(H1048&gt;0, MAX(I$1:I1047)+1, "")</f>
        <v/>
      </c>
    </row>
    <row r="1049" spans="1:9" x14ac:dyDescent="0.2">
      <c r="A1049" t="s">
        <v>29</v>
      </c>
      <c r="B1049" t="str">
        <f>Riego!A187</f>
        <v>Conducción Fluidos</v>
      </c>
      <c r="C1049" t="str">
        <f>Riego!B187</f>
        <v>RIEGO Y DISTRIBUCIÓN HIDRÁULICA</v>
      </c>
      <c r="D1049">
        <f>Riego!F187</f>
        <v>63436</v>
      </c>
      <c r="E1049" t="str">
        <f>Riego!G187</f>
        <v>PP COMPRES FT COPLA HI 63X2</v>
      </c>
      <c r="F1049">
        <f>Riego!H187</f>
        <v>1</v>
      </c>
      <c r="G1049" t="str">
        <f>Riego!I187</f>
        <v>Bolsa</v>
      </c>
      <c r="H1049">
        <f>IFERROR(IF(Riego!K187="",0,Riego!K187),0)</f>
        <v>0</v>
      </c>
      <c r="I1049" s="58" t="str">
        <f>IF(H1049&gt;0, MAX(I$1:I1048)+1, "")</f>
        <v/>
      </c>
    </row>
    <row r="1050" spans="1:9" x14ac:dyDescent="0.2">
      <c r="A1050" t="s">
        <v>29</v>
      </c>
      <c r="B1050" t="str">
        <f>Riego!A188</f>
        <v>Conducción Fluidos</v>
      </c>
      <c r="C1050" t="str">
        <f>Riego!B188</f>
        <v>RIEGO Y DISTRIBUCIÓN HIDRÁULICA</v>
      </c>
      <c r="D1050">
        <f>Riego!F188</f>
        <v>63450</v>
      </c>
      <c r="E1050" t="str">
        <f>Riego!G188</f>
        <v>PP COMPRES FT FLANGE DISCO MET 40X1 1/2</v>
      </c>
      <c r="F1050">
        <f>Riego!H188</f>
        <v>2</v>
      </c>
      <c r="G1050" t="str">
        <f>Riego!I188</f>
        <v>Bolsa</v>
      </c>
      <c r="H1050">
        <f>IFERROR(IF(Riego!K188="",0,Riego!K188),0)</f>
        <v>0</v>
      </c>
      <c r="I1050" s="58" t="str">
        <f>IF(H1050&gt;0, MAX(I$1:I1049)+1, "")</f>
        <v/>
      </c>
    </row>
    <row r="1051" spans="1:9" x14ac:dyDescent="0.2">
      <c r="A1051" t="s">
        <v>29</v>
      </c>
      <c r="B1051" t="str">
        <f>Riego!A189</f>
        <v>Conducción Fluidos</v>
      </c>
      <c r="C1051" t="str">
        <f>Riego!B189</f>
        <v>RIEGO Y DISTRIBUCIÓN HIDRÁULICA</v>
      </c>
      <c r="D1051">
        <f>Riego!F189</f>
        <v>63451</v>
      </c>
      <c r="E1051" t="str">
        <f>Riego!G189</f>
        <v>PP COMPRES FT FLANGE DISCO MET 50X1 1/2</v>
      </c>
      <c r="F1051">
        <f>Riego!H189</f>
        <v>1</v>
      </c>
      <c r="G1051" t="str">
        <f>Riego!I189</f>
        <v>Bolsa</v>
      </c>
      <c r="H1051">
        <f>IFERROR(IF(Riego!K189="",0,Riego!K189),0)</f>
        <v>0</v>
      </c>
      <c r="I1051" s="58" t="str">
        <f>IF(H1051&gt;0, MAX(I$1:I1050)+1, "")</f>
        <v/>
      </c>
    </row>
    <row r="1052" spans="1:9" x14ac:dyDescent="0.2">
      <c r="A1052" t="s">
        <v>29</v>
      </c>
      <c r="B1052" t="str">
        <f>Riego!A190</f>
        <v>Conducción Fluidos</v>
      </c>
      <c r="C1052" t="str">
        <f>Riego!B190</f>
        <v>RIEGO Y DISTRIBUCIÓN HIDRÁULICA</v>
      </c>
      <c r="D1052">
        <f>Riego!F190</f>
        <v>63452</v>
      </c>
      <c r="E1052" t="str">
        <f>Riego!G190</f>
        <v>PP COMPRES FT FLANGE DISCO MET 50X2</v>
      </c>
      <c r="F1052">
        <f>Riego!H190</f>
        <v>1</v>
      </c>
      <c r="G1052" t="str">
        <f>Riego!I190</f>
        <v>Bolsa</v>
      </c>
      <c r="H1052">
        <f>IFERROR(IF(Riego!K190="",0,Riego!K190),0)</f>
        <v>0</v>
      </c>
      <c r="I1052" s="58" t="str">
        <f>IF(H1052&gt;0, MAX(I$1:I1051)+1, "")</f>
        <v/>
      </c>
    </row>
    <row r="1053" spans="1:9" x14ac:dyDescent="0.2">
      <c r="A1053" t="s">
        <v>29</v>
      </c>
      <c r="B1053" t="str">
        <f>Riego!A191</f>
        <v>Conducción Fluidos</v>
      </c>
      <c r="C1053" t="str">
        <f>Riego!B191</f>
        <v>RIEGO Y DISTRIBUCIÓN HIDRÁULICA</v>
      </c>
      <c r="D1053">
        <f>Riego!F191</f>
        <v>63453</v>
      </c>
      <c r="E1053" t="str">
        <f>Riego!G191</f>
        <v>PP COMPRES FT FLANGE DISCO MET 63X2</v>
      </c>
      <c r="F1053">
        <f>Riego!H191</f>
        <v>1</v>
      </c>
      <c r="G1053" t="str">
        <f>Riego!I191</f>
        <v>Bolsa</v>
      </c>
      <c r="H1053">
        <f>IFERROR(IF(Riego!K191="",0,Riego!K191),0)</f>
        <v>0</v>
      </c>
      <c r="I1053" s="58" t="str">
        <f>IF(H1053&gt;0, MAX(I$1:I1052)+1, "")</f>
        <v/>
      </c>
    </row>
    <row r="1054" spans="1:9" x14ac:dyDescent="0.2">
      <c r="A1054" t="s">
        <v>29</v>
      </c>
      <c r="B1054" t="str">
        <f>Riego!A192</f>
        <v>Conducción Fluidos</v>
      </c>
      <c r="C1054" t="str">
        <f>Riego!B192</f>
        <v>RIEGO Y DISTRIBUCIÓN HIDRÁULICA</v>
      </c>
      <c r="D1054">
        <f>Riego!F192</f>
        <v>63454</v>
      </c>
      <c r="E1054" t="str">
        <f>Riego!G192</f>
        <v>PP COMPRES FT FLANGE DISCO MET 63X2 1/2</v>
      </c>
      <c r="F1054">
        <f>Riego!H192</f>
        <v>1</v>
      </c>
      <c r="G1054" t="str">
        <f>Riego!I192</f>
        <v>Bolsa</v>
      </c>
      <c r="H1054">
        <f>IFERROR(IF(Riego!K192="",0,Riego!K192),0)</f>
        <v>0</v>
      </c>
      <c r="I1054" s="58" t="str">
        <f>IF(H1054&gt;0, MAX(I$1:I1053)+1, "")</f>
        <v/>
      </c>
    </row>
    <row r="1055" spans="1:9" x14ac:dyDescent="0.2">
      <c r="A1055" t="s">
        <v>29</v>
      </c>
      <c r="B1055" t="str">
        <f>Riego!A193</f>
        <v>Conducción Fluidos</v>
      </c>
      <c r="C1055" t="str">
        <f>Riego!B193</f>
        <v>RIEGO Y DISTRIBUCIÓN HIDRÁULICA</v>
      </c>
      <c r="D1055">
        <f>Riego!F193</f>
        <v>351941</v>
      </c>
      <c r="E1055" t="str">
        <f>Riego!G193</f>
        <v>PVC PRE FT FLANGE Y COLLAR FLANGE 63</v>
      </c>
      <c r="F1055">
        <f>Riego!H193</f>
        <v>1</v>
      </c>
      <c r="G1055" t="str">
        <f>Riego!I193</f>
        <v>Unitario</v>
      </c>
      <c r="H1055">
        <f>IFERROR(IF(Riego!K193="",0,Riego!K193),0)</f>
        <v>0</v>
      </c>
      <c r="I1055" s="58" t="str">
        <f>IF(H1055&gt;0, MAX(I$1:I1054)+1, "")</f>
        <v/>
      </c>
    </row>
    <row r="1056" spans="1:9" x14ac:dyDescent="0.2">
      <c r="A1056" t="s">
        <v>29</v>
      </c>
      <c r="B1056" t="str">
        <f>Riego!A194</f>
        <v>Conducción Fluidos</v>
      </c>
      <c r="C1056" t="str">
        <f>Riego!B194</f>
        <v>RIEGO Y DISTRIBUCIÓN HIDRÁULICA</v>
      </c>
      <c r="D1056">
        <f>Riego!F194</f>
        <v>351942</v>
      </c>
      <c r="E1056" t="str">
        <f>Riego!G194</f>
        <v>PVC PRE FT FLANGE Y COLLAR FLANGE 75</v>
      </c>
      <c r="F1056">
        <f>Riego!H194</f>
        <v>1</v>
      </c>
      <c r="G1056" t="str">
        <f>Riego!I194</f>
        <v>Unitario</v>
      </c>
      <c r="H1056">
        <f>IFERROR(IF(Riego!K194="",0,Riego!K194),0)</f>
        <v>0</v>
      </c>
      <c r="I1056" s="58" t="str">
        <f>IF(H1056&gt;0, MAX(I$1:I1055)+1, "")</f>
        <v/>
      </c>
    </row>
    <row r="1057" spans="1:9" x14ac:dyDescent="0.2">
      <c r="A1057" t="s">
        <v>29</v>
      </c>
      <c r="B1057" t="str">
        <f>Riego!A195</f>
        <v>Conducción Fluidos</v>
      </c>
      <c r="C1057" t="str">
        <f>Riego!B195</f>
        <v>RIEGO Y DISTRIBUCIÓN HIDRÁULICA</v>
      </c>
      <c r="D1057">
        <f>Riego!F195</f>
        <v>351943</v>
      </c>
      <c r="E1057" t="str">
        <f>Riego!G195</f>
        <v>PVC PRE FT FLANGE Y COLLAR FLANGE 90</v>
      </c>
      <c r="F1057">
        <f>Riego!H195</f>
        <v>1</v>
      </c>
      <c r="G1057" t="str">
        <f>Riego!I195</f>
        <v>Unitario</v>
      </c>
      <c r="H1057">
        <f>IFERROR(IF(Riego!K195="",0,Riego!K195),0)</f>
        <v>0</v>
      </c>
      <c r="I1057" s="58" t="str">
        <f>IF(H1057&gt;0, MAX(I$1:I1056)+1, "")</f>
        <v/>
      </c>
    </row>
    <row r="1058" spans="1:9" x14ac:dyDescent="0.2">
      <c r="A1058" t="s">
        <v>29</v>
      </c>
      <c r="B1058" t="str">
        <f>Riego!A196</f>
        <v>Conducción Fluidos</v>
      </c>
      <c r="C1058" t="str">
        <f>Riego!B196</f>
        <v>RIEGO Y DISTRIBUCIÓN HIDRÁULICA</v>
      </c>
      <c r="D1058">
        <f>Riego!F196</f>
        <v>351944</v>
      </c>
      <c r="E1058" t="str">
        <f>Riego!G196</f>
        <v>PVC PRE FT FLANGE Y COLLAR FLANGE 110</v>
      </c>
      <c r="F1058">
        <f>Riego!H196</f>
        <v>1</v>
      </c>
      <c r="G1058" t="str">
        <f>Riego!I196</f>
        <v>Unitario</v>
      </c>
      <c r="H1058">
        <f>IFERROR(IF(Riego!K196="",0,Riego!K196),0)</f>
        <v>0</v>
      </c>
      <c r="I1058" s="58" t="str">
        <f>IF(H1058&gt;0, MAX(I$1:I1057)+1, "")</f>
        <v/>
      </c>
    </row>
    <row r="1059" spans="1:9" x14ac:dyDescent="0.2">
      <c r="A1059" t="s">
        <v>29</v>
      </c>
      <c r="B1059" t="str">
        <f>Riego!A197</f>
        <v>Conducción Fluidos</v>
      </c>
      <c r="C1059" t="str">
        <f>Riego!B197</f>
        <v>RIEGO Y DISTRIBUCIÓN HIDRÁULICA</v>
      </c>
      <c r="D1059">
        <f>Riego!F197</f>
        <v>63201</v>
      </c>
      <c r="E1059" t="str">
        <f>Riego!G197</f>
        <v>PP COMP FT COLLARIN VISAGRA PERF 110X25</v>
      </c>
      <c r="F1059">
        <f>Riego!H197</f>
        <v>1</v>
      </c>
      <c r="G1059" t="str">
        <f>Riego!I197</f>
        <v>Bolsa</v>
      </c>
      <c r="H1059">
        <f>IFERROR(IF(Riego!K197="",0,Riego!K197),0)</f>
        <v>0</v>
      </c>
      <c r="I1059" s="58" t="str">
        <f>IF(H1059&gt;0, MAX(I$1:I1058)+1, "")</f>
        <v/>
      </c>
    </row>
    <row r="1060" spans="1:9" x14ac:dyDescent="0.2">
      <c r="A1060" t="s">
        <v>29</v>
      </c>
      <c r="B1060" t="str">
        <f>Riego!A198</f>
        <v>Conducción Fluidos</v>
      </c>
      <c r="C1060" t="str">
        <f>Riego!B198</f>
        <v>RIEGO Y DISTRIBUCIÓN HIDRÁULICA</v>
      </c>
      <c r="D1060">
        <f>Riego!F198</f>
        <v>63202</v>
      </c>
      <c r="E1060" t="str">
        <f>Riego!G198</f>
        <v>PP COMP FT COLLARIN VISAGRA PERF 110X32</v>
      </c>
      <c r="F1060">
        <f>Riego!H198</f>
        <v>1</v>
      </c>
      <c r="G1060" t="str">
        <f>Riego!I198</f>
        <v>Bolsa</v>
      </c>
      <c r="H1060">
        <f>IFERROR(IF(Riego!K198="",0,Riego!K198),0)</f>
        <v>0</v>
      </c>
      <c r="I1060" s="58" t="str">
        <f>IF(H1060&gt;0, MAX(I$1:I1059)+1, "")</f>
        <v/>
      </c>
    </row>
    <row r="1061" spans="1:9" x14ac:dyDescent="0.2">
      <c r="A1061" t="s">
        <v>29</v>
      </c>
      <c r="B1061" t="str">
        <f>Riego!A199</f>
        <v>Conducción Fluidos</v>
      </c>
      <c r="C1061" t="str">
        <f>Riego!B199</f>
        <v>RIEGO Y DISTRIBUCIÓN HIDRÁULICA</v>
      </c>
      <c r="D1061">
        <f>Riego!F199</f>
        <v>63101</v>
      </c>
      <c r="E1061" t="str">
        <f>Riego!G199</f>
        <v>PP COMPR FT COLLARIN 110X25 PN16</v>
      </c>
      <c r="F1061">
        <f>Riego!H199</f>
        <v>1</v>
      </c>
      <c r="G1061" t="str">
        <f>Riego!I199</f>
        <v>Bolsa</v>
      </c>
      <c r="H1061">
        <f>IFERROR(IF(Riego!K199="",0,Riego!K199),0)</f>
        <v>0</v>
      </c>
      <c r="I1061" s="58" t="str">
        <f>IF(H1061&gt;0, MAX(I$1:I1060)+1, "")</f>
        <v/>
      </c>
    </row>
    <row r="1062" spans="1:9" x14ac:dyDescent="0.2">
      <c r="A1062" t="s">
        <v>29</v>
      </c>
      <c r="B1062" t="str">
        <f>Riego!A200</f>
        <v>Conducción Fluidos</v>
      </c>
      <c r="C1062" t="str">
        <f>Riego!B200</f>
        <v>RIEGO Y DISTRIBUCIÓN HIDRÁULICA</v>
      </c>
      <c r="D1062">
        <f>Riego!F200</f>
        <v>63102</v>
      </c>
      <c r="E1062" t="str">
        <f>Riego!G200</f>
        <v>PP COMPR FT COLLARIN 110X32 PN16</v>
      </c>
      <c r="F1062">
        <f>Riego!H200</f>
        <v>1</v>
      </c>
      <c r="G1062" t="str">
        <f>Riego!I200</f>
        <v>Bolsa</v>
      </c>
      <c r="H1062">
        <f>IFERROR(IF(Riego!K200="",0,Riego!K200),0)</f>
        <v>0</v>
      </c>
      <c r="I1062" s="58" t="str">
        <f>IF(H1062&gt;0, MAX(I$1:I1061)+1, "")</f>
        <v/>
      </c>
    </row>
    <row r="1063" spans="1:9" x14ac:dyDescent="0.2">
      <c r="A1063" t="s">
        <v>29</v>
      </c>
      <c r="B1063" t="str">
        <f>Riego!A201</f>
        <v>Conducción Fluidos</v>
      </c>
      <c r="C1063" t="str">
        <f>Riego!B201</f>
        <v>RIEGO Y DISTRIBUCIÓN HIDRÁULICA</v>
      </c>
      <c r="D1063">
        <f>Riego!F201</f>
        <v>63103</v>
      </c>
      <c r="E1063" t="str">
        <f>Riego!G201</f>
        <v>PP COMPR FT COLLARIN 160X25 PN16</v>
      </c>
      <c r="F1063">
        <f>Riego!H201</f>
        <v>1</v>
      </c>
      <c r="G1063" t="str">
        <f>Riego!I201</f>
        <v>Bolsa</v>
      </c>
      <c r="H1063">
        <f>IFERROR(IF(Riego!K201="",0,Riego!K201),0)</f>
        <v>0</v>
      </c>
      <c r="I1063" s="58" t="str">
        <f>IF(H1063&gt;0, MAX(I$1:I1062)+1, "")</f>
        <v/>
      </c>
    </row>
    <row r="1064" spans="1:9" x14ac:dyDescent="0.2">
      <c r="A1064" t="s">
        <v>29</v>
      </c>
      <c r="B1064" t="str">
        <f>Riego!A202</f>
        <v>Conducción Fluidos</v>
      </c>
      <c r="C1064" t="str">
        <f>Riego!B202</f>
        <v>RIEGO Y DISTRIBUCIÓN HIDRÁULICA</v>
      </c>
      <c r="D1064">
        <f>Riego!F202</f>
        <v>63104</v>
      </c>
      <c r="E1064" t="str">
        <f>Riego!G202</f>
        <v>PP COMPR FT COLLARIN 160X32 PN16</v>
      </c>
      <c r="F1064">
        <f>Riego!H202</f>
        <v>1</v>
      </c>
      <c r="G1064" t="str">
        <f>Riego!I202</f>
        <v>Bolsa</v>
      </c>
      <c r="H1064">
        <f>IFERROR(IF(Riego!K202="",0,Riego!K202),0)</f>
        <v>0</v>
      </c>
      <c r="I1064" s="58" t="str">
        <f>IF(H1064&gt;0, MAX(I$1:I1063)+1, "")</f>
        <v/>
      </c>
    </row>
    <row r="1065" spans="1:9" x14ac:dyDescent="0.2">
      <c r="A1065" t="s">
        <v>30</v>
      </c>
      <c r="B1065" t="str">
        <f>Mangueras!A3</f>
        <v>Conducción Fluidos</v>
      </c>
      <c r="C1065" t="str">
        <f>Mangueras!B3</f>
        <v>MANGUERAS Y ACCESORIOS</v>
      </c>
      <c r="D1065">
        <f>Mangueras!F3</f>
        <v>90034</v>
      </c>
      <c r="E1065" t="str">
        <f>Mangueras!G3</f>
        <v>MANGUERA PISCINA SWIMBOY 38mm 10 MT</v>
      </c>
      <c r="F1065">
        <f>Mangueras!H3</f>
        <v>1</v>
      </c>
      <c r="G1065" t="str">
        <f>Mangueras!I3</f>
        <v>Unitario</v>
      </c>
      <c r="H1065">
        <f>IFERROR(IF(Mangueras!K3="",0,Mangueras!K3),0)</f>
        <v>0</v>
      </c>
      <c r="I1065" s="58" t="str">
        <f>IF(H1065&gt;0, MAX(I$1:I1064)+1, "")</f>
        <v/>
      </c>
    </row>
    <row r="1066" spans="1:9" x14ac:dyDescent="0.2">
      <c r="A1066" t="s">
        <v>30</v>
      </c>
      <c r="B1066" t="str">
        <f>Mangueras!A4</f>
        <v>Conducción Fluidos</v>
      </c>
      <c r="C1066" t="str">
        <f>Mangueras!B4</f>
        <v>MANGUERAS Y ACCESORIOS</v>
      </c>
      <c r="D1066">
        <f>Mangueras!F4</f>
        <v>90035</v>
      </c>
      <c r="E1066" t="str">
        <f>Mangueras!G4</f>
        <v>MANGUERA PISCINA SWIMBOY 38mm 15 MT</v>
      </c>
      <c r="F1066">
        <f>Mangueras!H4</f>
        <v>1</v>
      </c>
      <c r="G1066" t="str">
        <f>Mangueras!I4</f>
        <v>Unitario</v>
      </c>
      <c r="H1066">
        <f>IFERROR(IF(Mangueras!K4="",0,Mangueras!K4),0)</f>
        <v>0</v>
      </c>
      <c r="I1066" s="58" t="str">
        <f>IF(H1066&gt;0, MAX(I$1:I1065)+1, "")</f>
        <v/>
      </c>
    </row>
    <row r="1067" spans="1:9" x14ac:dyDescent="0.2">
      <c r="A1067" t="s">
        <v>30</v>
      </c>
      <c r="B1067" t="str">
        <f>Mangueras!A5</f>
        <v>Conducción Fluidos</v>
      </c>
      <c r="C1067" t="str">
        <f>Mangueras!B5</f>
        <v>MANGUERAS Y ACCESORIOS</v>
      </c>
      <c r="D1067">
        <f>Mangueras!F5</f>
        <v>90036</v>
      </c>
      <c r="E1067" t="str">
        <f>Mangueras!G5</f>
        <v>MANGUERA PISCINA SWIMBOY 38mm 20 MT</v>
      </c>
      <c r="F1067">
        <f>Mangueras!H5</f>
        <v>1</v>
      </c>
      <c r="G1067" t="str">
        <f>Mangueras!I5</f>
        <v>Unitario</v>
      </c>
      <c r="H1067">
        <f>IFERROR(IF(Mangueras!K5="",0,Mangueras!K5),0)</f>
        <v>0</v>
      </c>
      <c r="I1067" s="58" t="str">
        <f>IF(H1067&gt;0, MAX(I$1:I1066)+1, "")</f>
        <v/>
      </c>
    </row>
    <row r="1068" spans="1:9" x14ac:dyDescent="0.2">
      <c r="A1068" t="s">
        <v>30</v>
      </c>
      <c r="B1068" t="str">
        <f>Mangueras!A6</f>
        <v>Conducción Fluidos</v>
      </c>
      <c r="C1068" t="str">
        <f>Mangueras!B6</f>
        <v>MANGUERAS Y ACCESORIOS</v>
      </c>
      <c r="D1068">
        <f>Mangueras!F6</f>
        <v>90037</v>
      </c>
      <c r="E1068" t="str">
        <f>Mangueras!G6</f>
        <v>MANGUERA PISCINA SWIMBOY 38mm 25 MT</v>
      </c>
      <c r="F1068">
        <f>Mangueras!H6</f>
        <v>1</v>
      </c>
      <c r="G1068" t="str">
        <f>Mangueras!I6</f>
        <v>Unitario</v>
      </c>
      <c r="H1068">
        <f>IFERROR(IF(Mangueras!K6="",0,Mangueras!K6),0)</f>
        <v>0</v>
      </c>
      <c r="I1068" s="58" t="str">
        <f>IF(H1068&gt;0, MAX(I$1:I1067)+1, "")</f>
        <v/>
      </c>
    </row>
    <row r="1069" spans="1:9" x14ac:dyDescent="0.2">
      <c r="A1069" t="s">
        <v>30</v>
      </c>
      <c r="B1069" t="str">
        <f>Mangueras!A7</f>
        <v>Conducción Fluidos</v>
      </c>
      <c r="C1069" t="str">
        <f>Mangueras!B7</f>
        <v>MANGUERAS Y ACCESORIOS</v>
      </c>
      <c r="D1069">
        <f>Mangueras!F7</f>
        <v>90038</v>
      </c>
      <c r="E1069" t="str">
        <f>Mangueras!G7</f>
        <v>CONECTOR MANGUERA PISCINA</v>
      </c>
      <c r="F1069">
        <f>Mangueras!H7</f>
        <v>1</v>
      </c>
      <c r="G1069" t="str">
        <f>Mangueras!I7</f>
        <v>Unitario</v>
      </c>
      <c r="H1069">
        <f>IFERROR(IF(Mangueras!K7="",0,Mangueras!K7),0)</f>
        <v>0</v>
      </c>
      <c r="I1069" s="58" t="str">
        <f>IF(H1069&gt;0, MAX(I$1:I1068)+1, "")</f>
        <v/>
      </c>
    </row>
    <row r="1070" spans="1:9" x14ac:dyDescent="0.2">
      <c r="A1070" t="s">
        <v>30</v>
      </c>
      <c r="B1070" t="str">
        <f>Mangueras!A8</f>
        <v>Conducción Fluidos</v>
      </c>
      <c r="C1070" t="str">
        <f>Mangueras!B8</f>
        <v>MANGUERAS Y ACCESORIOS</v>
      </c>
      <c r="D1070">
        <f>Mangueras!F8</f>
        <v>90001</v>
      </c>
      <c r="E1070" t="str">
        <f>Mangueras!G8</f>
        <v>MANGUERA 1/2" ESTRIADA BICOLOR 100 MT</v>
      </c>
      <c r="F1070">
        <f>Mangueras!H8</f>
        <v>1</v>
      </c>
      <c r="G1070" t="str">
        <f>Mangueras!I8</f>
        <v>Unitario</v>
      </c>
      <c r="H1070">
        <f>IFERROR(IF(Mangueras!K8="",0,Mangueras!K8),0)</f>
        <v>0</v>
      </c>
      <c r="I1070" s="58" t="str">
        <f>IF(H1070&gt;0, MAX(I$1:I1069)+1, "")</f>
        <v/>
      </c>
    </row>
    <row r="1071" spans="1:9" x14ac:dyDescent="0.2">
      <c r="A1071" t="s">
        <v>30</v>
      </c>
      <c r="B1071" t="str">
        <f>Mangueras!A9</f>
        <v>Conducción Fluidos</v>
      </c>
      <c r="C1071" t="str">
        <f>Mangueras!B9</f>
        <v>MANGUERAS Y ACCESORIOS</v>
      </c>
      <c r="D1071">
        <f>Mangueras!F9</f>
        <v>90002</v>
      </c>
      <c r="E1071" t="str">
        <f>Mangueras!G9</f>
        <v>MANGUERA 1/2" ESTRIADA CRISTAL 100 MT</v>
      </c>
      <c r="F1071">
        <f>Mangueras!H9</f>
        <v>1</v>
      </c>
      <c r="G1071" t="str">
        <f>Mangueras!I9</f>
        <v>Unitario</v>
      </c>
      <c r="H1071">
        <f>IFERROR(IF(Mangueras!K9="",0,Mangueras!K9),0)</f>
        <v>0</v>
      </c>
      <c r="I1071" s="58" t="str">
        <f>IF(H1071&gt;0, MAX(I$1:I1070)+1, "")</f>
        <v/>
      </c>
    </row>
    <row r="1072" spans="1:9" x14ac:dyDescent="0.2">
      <c r="A1072" t="s">
        <v>30</v>
      </c>
      <c r="B1072" t="str">
        <f>Mangueras!A10</f>
        <v>Conducción Fluidos</v>
      </c>
      <c r="C1072" t="str">
        <f>Mangueras!B10</f>
        <v>MANGUERAS Y ACCESORIOS</v>
      </c>
      <c r="D1072">
        <f>Mangueras!F10</f>
        <v>90003</v>
      </c>
      <c r="E1072" t="str">
        <f>Mangueras!G10</f>
        <v>MANGUERA 1/2" ESTRIADA BICOLOR 10 MTS</v>
      </c>
      <c r="F1072">
        <f>Mangueras!H10</f>
        <v>1</v>
      </c>
      <c r="G1072" t="str">
        <f>Mangueras!I10</f>
        <v>Unitario</v>
      </c>
      <c r="H1072">
        <f>IFERROR(IF(Mangueras!K10="",0,Mangueras!K10),0)</f>
        <v>0</v>
      </c>
      <c r="I1072" s="58" t="str">
        <f>IF(H1072&gt;0, MAX(I$1:I1071)+1, "")</f>
        <v/>
      </c>
    </row>
    <row r="1073" spans="1:9" x14ac:dyDescent="0.2">
      <c r="A1073" t="s">
        <v>30</v>
      </c>
      <c r="B1073" t="str">
        <f>Mangueras!A11</f>
        <v>Conducción Fluidos</v>
      </c>
      <c r="C1073" t="str">
        <f>Mangueras!B11</f>
        <v>MANGUERAS Y ACCESORIOS</v>
      </c>
      <c r="D1073">
        <f>Mangueras!F11</f>
        <v>90004</v>
      </c>
      <c r="E1073" t="str">
        <f>Mangueras!G11</f>
        <v>MANGUERA 1/2" ESTRIADA BICOLOR 15 MTS</v>
      </c>
      <c r="F1073">
        <f>Mangueras!H11</f>
        <v>1</v>
      </c>
      <c r="G1073" t="str">
        <f>Mangueras!I11</f>
        <v>Unitario</v>
      </c>
      <c r="H1073">
        <f>IFERROR(IF(Mangueras!K11="",0,Mangueras!K11),0)</f>
        <v>0</v>
      </c>
      <c r="I1073" s="58" t="str">
        <f>IF(H1073&gt;0, MAX(I$1:I1072)+1, "")</f>
        <v/>
      </c>
    </row>
    <row r="1074" spans="1:9" x14ac:dyDescent="0.2">
      <c r="A1074" t="s">
        <v>30</v>
      </c>
      <c r="B1074" t="str">
        <f>Mangueras!A12</f>
        <v>Conducción Fluidos</v>
      </c>
      <c r="C1074" t="str">
        <f>Mangueras!B12</f>
        <v>MANGUERAS Y ACCESORIOS</v>
      </c>
      <c r="D1074">
        <f>Mangueras!F12</f>
        <v>90005</v>
      </c>
      <c r="E1074" t="str">
        <f>Mangueras!G12</f>
        <v>MANGUERA 1/2" ESTRIADA BICOLOR 20 MTS</v>
      </c>
      <c r="F1074">
        <f>Mangueras!H12</f>
        <v>1</v>
      </c>
      <c r="G1074" t="str">
        <f>Mangueras!I12</f>
        <v>Unitario</v>
      </c>
      <c r="H1074">
        <f>IFERROR(IF(Mangueras!K12="",0,Mangueras!K12),0)</f>
        <v>0</v>
      </c>
      <c r="I1074" s="58" t="str">
        <f>IF(H1074&gt;0, MAX(I$1:I1073)+1, "")</f>
        <v/>
      </c>
    </row>
    <row r="1075" spans="1:9" x14ac:dyDescent="0.2">
      <c r="A1075" t="s">
        <v>30</v>
      </c>
      <c r="B1075" t="str">
        <f>Mangueras!A13</f>
        <v>Conducción Fluidos</v>
      </c>
      <c r="C1075" t="str">
        <f>Mangueras!B13</f>
        <v>MANGUERAS Y ACCESORIOS</v>
      </c>
      <c r="D1075">
        <f>Mangueras!F13</f>
        <v>90006</v>
      </c>
      <c r="E1075" t="str">
        <f>Mangueras!G13</f>
        <v>SET MANGUERA 1/2" ESTRIADA BICOLOR 10 MT</v>
      </c>
      <c r="F1075">
        <f>Mangueras!H13</f>
        <v>1</v>
      </c>
      <c r="G1075" t="str">
        <f>Mangueras!I13</f>
        <v>Unitario</v>
      </c>
      <c r="H1075">
        <f>IFERROR(IF(Mangueras!K13="",0,Mangueras!K13),0)</f>
        <v>0</v>
      </c>
      <c r="I1075" s="58" t="str">
        <f>IF(H1075&gt;0, MAX(I$1:I1074)+1, "")</f>
        <v/>
      </c>
    </row>
    <row r="1076" spans="1:9" x14ac:dyDescent="0.2">
      <c r="A1076" t="s">
        <v>30</v>
      </c>
      <c r="B1076" t="str">
        <f>Mangueras!A14</f>
        <v>Conducción Fluidos</v>
      </c>
      <c r="C1076" t="str">
        <f>Mangueras!B14</f>
        <v>MANGUERAS Y ACCESORIOS</v>
      </c>
      <c r="D1076">
        <f>Mangueras!F14</f>
        <v>90007</v>
      </c>
      <c r="E1076" t="str">
        <f>Mangueras!G14</f>
        <v>SET MANGUERA 1/2" ESTRIADA BICOLOR 15 MT</v>
      </c>
      <c r="F1076">
        <f>Mangueras!H14</f>
        <v>1</v>
      </c>
      <c r="G1076" t="str">
        <f>Mangueras!I14</f>
        <v>Unitario</v>
      </c>
      <c r="H1076">
        <f>IFERROR(IF(Mangueras!K14="",0,Mangueras!K14),0)</f>
        <v>0</v>
      </c>
      <c r="I1076" s="58" t="str">
        <f>IF(H1076&gt;0, MAX(I$1:I1075)+1, "")</f>
        <v/>
      </c>
    </row>
    <row r="1077" spans="1:9" x14ac:dyDescent="0.2">
      <c r="A1077" t="s">
        <v>30</v>
      </c>
      <c r="B1077" t="str">
        <f>Mangueras!A15</f>
        <v>Conducción Fluidos</v>
      </c>
      <c r="C1077" t="str">
        <f>Mangueras!B15</f>
        <v>MANGUERAS Y ACCESORIOS</v>
      </c>
      <c r="D1077">
        <f>Mangueras!F15</f>
        <v>90008</v>
      </c>
      <c r="E1077" t="str">
        <f>Mangueras!G15</f>
        <v>SET MANGUERA 1/2" ESTRIADA BICOLOR 20 MT</v>
      </c>
      <c r="F1077">
        <f>Mangueras!H15</f>
        <v>1</v>
      </c>
      <c r="G1077" t="str">
        <f>Mangueras!I15</f>
        <v>Unitario</v>
      </c>
      <c r="H1077">
        <f>IFERROR(IF(Mangueras!K15="",0,Mangueras!K15),0)</f>
        <v>0</v>
      </c>
      <c r="I1077" s="58" t="str">
        <f>IF(H1077&gt;0, MAX(I$1:I1076)+1, "")</f>
        <v/>
      </c>
    </row>
    <row r="1078" spans="1:9" x14ac:dyDescent="0.2">
      <c r="A1078" t="s">
        <v>30</v>
      </c>
      <c r="B1078" t="str">
        <f>Mangueras!A16</f>
        <v>Conducción Fluidos</v>
      </c>
      <c r="C1078" t="str">
        <f>Mangueras!B16</f>
        <v>MANGUERAS Y ACCESORIOS</v>
      </c>
      <c r="D1078">
        <f>Mangueras!F16</f>
        <v>90009</v>
      </c>
      <c r="E1078" t="str">
        <f>Mangueras!G16</f>
        <v>MANGUERA EXTRA DUOCOLOR 1/2" 100 MT</v>
      </c>
      <c r="F1078">
        <f>Mangueras!H16</f>
        <v>1</v>
      </c>
      <c r="G1078" t="str">
        <f>Mangueras!I16</f>
        <v>Unitario</v>
      </c>
      <c r="H1078">
        <f>IFERROR(IF(Mangueras!K16="",0,Mangueras!K16),0)</f>
        <v>0</v>
      </c>
      <c r="I1078" s="58" t="str">
        <f>IF(H1078&gt;0, MAX(I$1:I1077)+1, "")</f>
        <v/>
      </c>
    </row>
    <row r="1079" spans="1:9" x14ac:dyDescent="0.2">
      <c r="A1079" t="s">
        <v>30</v>
      </c>
      <c r="B1079" t="str">
        <f>Mangueras!A17</f>
        <v>Conducción Fluidos</v>
      </c>
      <c r="C1079" t="str">
        <f>Mangueras!B17</f>
        <v>MANGUERAS Y ACCESORIOS</v>
      </c>
      <c r="D1079">
        <f>Mangueras!F17</f>
        <v>90010</v>
      </c>
      <c r="E1079" t="str">
        <f>Mangueras!G17</f>
        <v>MANGUERA EXTRA CRISTAL 1/2" 100 MT (V/C)</v>
      </c>
      <c r="F1079">
        <f>Mangueras!H17</f>
        <v>1</v>
      </c>
      <c r="G1079" t="str">
        <f>Mangueras!I17</f>
        <v>Unitario</v>
      </c>
      <c r="H1079">
        <f>IFERROR(IF(Mangueras!K17="",0,Mangueras!K17),0)</f>
        <v>0</v>
      </c>
      <c r="I1079" s="58" t="str">
        <f>IF(H1079&gt;0, MAX(I$1:I1078)+1, "")</f>
        <v/>
      </c>
    </row>
    <row r="1080" spans="1:9" x14ac:dyDescent="0.2">
      <c r="A1080" t="s">
        <v>30</v>
      </c>
      <c r="B1080" t="str">
        <f>Mangueras!A18</f>
        <v>Conducción Fluidos</v>
      </c>
      <c r="C1080" t="str">
        <f>Mangueras!B18</f>
        <v>MANGUERAS Y ACCESORIOS</v>
      </c>
      <c r="D1080">
        <f>Mangueras!F18</f>
        <v>90011</v>
      </c>
      <c r="E1080" t="str">
        <f>Mangueras!G18</f>
        <v>MANGUERA EXTRA CRISTAL 3/4" 100 MT (V/C)</v>
      </c>
      <c r="F1080">
        <f>Mangueras!H18</f>
        <v>1</v>
      </c>
      <c r="G1080" t="str">
        <f>Mangueras!I18</f>
        <v>Unitario</v>
      </c>
      <c r="H1080">
        <f>IFERROR(IF(Mangueras!K18="",0,Mangueras!K18),0)</f>
        <v>0</v>
      </c>
      <c r="I1080" s="58" t="str">
        <f>IF(H1080&gt;0, MAX(I$1:I1079)+1, "")</f>
        <v/>
      </c>
    </row>
    <row r="1081" spans="1:9" x14ac:dyDescent="0.2">
      <c r="A1081" t="s">
        <v>30</v>
      </c>
      <c r="B1081" t="str">
        <f>Mangueras!A19</f>
        <v>Conducción Fluidos</v>
      </c>
      <c r="C1081" t="str">
        <f>Mangueras!B19</f>
        <v>MANGUERAS Y ACCESORIOS</v>
      </c>
      <c r="D1081">
        <f>Mangueras!F19</f>
        <v>90012</v>
      </c>
      <c r="E1081" t="str">
        <f>Mangueras!G19</f>
        <v>MANGUERA EXTRA CRISTAL 1" 100 MT (V/C)</v>
      </c>
      <c r="F1081">
        <f>Mangueras!H19</f>
        <v>1</v>
      </c>
      <c r="G1081" t="str">
        <f>Mangueras!I19</f>
        <v>Unitario</v>
      </c>
      <c r="H1081">
        <f>IFERROR(IF(Mangueras!K19="",0,Mangueras!K19),0)</f>
        <v>0</v>
      </c>
      <c r="I1081" s="58" t="str">
        <f>IF(H1081&gt;0, MAX(I$1:I1080)+1, "")</f>
        <v/>
      </c>
    </row>
    <row r="1082" spans="1:9" x14ac:dyDescent="0.2">
      <c r="A1082" t="s">
        <v>30</v>
      </c>
      <c r="B1082" t="str">
        <f>Mangueras!A20</f>
        <v>Conducción Fluidos</v>
      </c>
      <c r="C1082" t="str">
        <f>Mangueras!B20</f>
        <v>MANGUERAS Y ACCESORIOS</v>
      </c>
      <c r="D1082">
        <f>Mangueras!F20</f>
        <v>90013</v>
      </c>
      <c r="E1082" t="str">
        <f>Mangueras!G20</f>
        <v>MANGUERA EXTRA VERDE 1/2" 100 MT (V)</v>
      </c>
      <c r="F1082">
        <f>Mangueras!H20</f>
        <v>1</v>
      </c>
      <c r="G1082" t="str">
        <f>Mangueras!I20</f>
        <v>Unitario</v>
      </c>
      <c r="H1082">
        <f>IFERROR(IF(Mangueras!K20="",0,Mangueras!K20),0)</f>
        <v>0</v>
      </c>
      <c r="I1082" s="58" t="str">
        <f>IF(H1082&gt;0, MAX(I$1:I1081)+1, "")</f>
        <v/>
      </c>
    </row>
    <row r="1083" spans="1:9" x14ac:dyDescent="0.2">
      <c r="A1083" t="s">
        <v>30</v>
      </c>
      <c r="B1083" t="str">
        <f>Mangueras!A21</f>
        <v>Conducción Fluidos</v>
      </c>
      <c r="C1083" t="str">
        <f>Mangueras!B21</f>
        <v>MANGUERAS Y ACCESORIOS</v>
      </c>
      <c r="D1083">
        <f>Mangueras!F21</f>
        <v>90014</v>
      </c>
      <c r="E1083" t="str">
        <f>Mangueras!G21</f>
        <v>MANGUERA EXTRA VERDE 3/4" 100 MT (V)</v>
      </c>
      <c r="F1083">
        <f>Mangueras!H21</f>
        <v>1</v>
      </c>
      <c r="G1083" t="str">
        <f>Mangueras!I21</f>
        <v>Unitario</v>
      </c>
      <c r="H1083">
        <f>IFERROR(IF(Mangueras!K21="",0,Mangueras!K21),0)</f>
        <v>0</v>
      </c>
      <c r="I1083" s="58" t="str">
        <f>IF(H1083&gt;0, MAX(I$1:I1082)+1, "")</f>
        <v/>
      </c>
    </row>
    <row r="1084" spans="1:9" x14ac:dyDescent="0.2">
      <c r="A1084" t="s">
        <v>30</v>
      </c>
      <c r="B1084" t="str">
        <f>Mangueras!A22</f>
        <v>Conducción Fluidos</v>
      </c>
      <c r="C1084" t="str">
        <f>Mangueras!B22</f>
        <v>MANGUERAS Y ACCESORIOS</v>
      </c>
      <c r="D1084">
        <f>Mangueras!F22</f>
        <v>90015</v>
      </c>
      <c r="E1084" t="str">
        <f>Mangueras!G22</f>
        <v>MANGUERA EXTRA VERDE 1" 100 MT (V)</v>
      </c>
      <c r="F1084">
        <f>Mangueras!H22</f>
        <v>1</v>
      </c>
      <c r="G1084" t="str">
        <f>Mangueras!I22</f>
        <v>Unitario</v>
      </c>
      <c r="H1084">
        <f>IFERROR(IF(Mangueras!K22="",0,Mangueras!K22),0)</f>
        <v>0</v>
      </c>
      <c r="I1084" s="58" t="str">
        <f>IF(H1084&gt;0, MAX(I$1:I1083)+1, "")</f>
        <v/>
      </c>
    </row>
    <row r="1085" spans="1:9" x14ac:dyDescent="0.2">
      <c r="A1085" t="s">
        <v>30</v>
      </c>
      <c r="B1085" t="str">
        <f>Mangueras!A23</f>
        <v>Conducción Fluidos</v>
      </c>
      <c r="C1085" t="str">
        <f>Mangueras!B23</f>
        <v>MANGUERAS Y ACCESORIOS</v>
      </c>
      <c r="D1085">
        <f>Mangueras!F23</f>
        <v>90016</v>
      </c>
      <c r="E1085" t="str">
        <f>Mangueras!G23</f>
        <v>MANGUERA EXTRA BICOLOR 3/4" 100 MT (V/B)</v>
      </c>
      <c r="F1085">
        <f>Mangueras!H23</f>
        <v>1</v>
      </c>
      <c r="G1085" t="str">
        <f>Mangueras!I23</f>
        <v>Unitario</v>
      </c>
      <c r="H1085">
        <f>IFERROR(IF(Mangueras!K23="",0,Mangueras!K23),0)</f>
        <v>0</v>
      </c>
      <c r="I1085" s="58" t="str">
        <f>IF(H1085&gt;0, MAX(I$1:I1084)+1, "")</f>
        <v/>
      </c>
    </row>
    <row r="1086" spans="1:9" x14ac:dyDescent="0.2">
      <c r="A1086" t="s">
        <v>30</v>
      </c>
      <c r="B1086" t="str">
        <f>Mangueras!A24</f>
        <v>Conducción Fluidos</v>
      </c>
      <c r="C1086" t="str">
        <f>Mangueras!B24</f>
        <v>MANGUERAS Y ACCESORIOS</v>
      </c>
      <c r="D1086">
        <f>Mangueras!F24</f>
        <v>90017</v>
      </c>
      <c r="E1086" t="str">
        <f>Mangueras!G24</f>
        <v>MANGUERA EXTRA BICOLOR 1" 100 MT (V/B)</v>
      </c>
      <c r="F1086">
        <f>Mangueras!H24</f>
        <v>1</v>
      </c>
      <c r="G1086" t="str">
        <f>Mangueras!I24</f>
        <v>Unitario</v>
      </c>
      <c r="H1086">
        <f>IFERROR(IF(Mangueras!K24="",0,Mangueras!K24),0)</f>
        <v>0</v>
      </c>
      <c r="I1086" s="58" t="str">
        <f>IF(H1086&gt;0, MAX(I$1:I1085)+1, "")</f>
        <v/>
      </c>
    </row>
    <row r="1087" spans="1:9" x14ac:dyDescent="0.2">
      <c r="A1087" t="s">
        <v>30</v>
      </c>
      <c r="B1087" t="str">
        <f>Mangueras!A25</f>
        <v>Conducción Fluidos</v>
      </c>
      <c r="C1087" t="str">
        <f>Mangueras!B25</f>
        <v>MANGUERAS Y ACCESORIOS</v>
      </c>
      <c r="D1087">
        <f>Mangueras!F25</f>
        <v>90018</v>
      </c>
      <c r="E1087" t="str">
        <f>Mangueras!G25</f>
        <v>MANGUERA CRISTAL 1/2" 10 MT (C)</v>
      </c>
      <c r="F1087">
        <f>Mangueras!H25</f>
        <v>1</v>
      </c>
      <c r="G1087" t="str">
        <f>Mangueras!I25</f>
        <v>Unitario</v>
      </c>
      <c r="H1087">
        <f>IFERROR(IF(Mangueras!K25="",0,Mangueras!K25),0)</f>
        <v>0</v>
      </c>
      <c r="I1087" s="58" t="str">
        <f>IF(H1087&gt;0, MAX(I$1:I1086)+1, "")</f>
        <v/>
      </c>
    </row>
    <row r="1088" spans="1:9" x14ac:dyDescent="0.2">
      <c r="A1088" t="s">
        <v>30</v>
      </c>
      <c r="B1088" t="str">
        <f>Mangueras!A26</f>
        <v>Conducción Fluidos</v>
      </c>
      <c r="C1088" t="str">
        <f>Mangueras!B26</f>
        <v>MANGUERAS Y ACCESORIOS</v>
      </c>
      <c r="D1088">
        <f>Mangueras!F26</f>
        <v>90019</v>
      </c>
      <c r="E1088" t="str">
        <f>Mangueras!G26</f>
        <v>MANGUERA CRISTAL 1/2" 15 MT (C)</v>
      </c>
      <c r="F1088">
        <f>Mangueras!H26</f>
        <v>1</v>
      </c>
      <c r="G1088" t="str">
        <f>Mangueras!I26</f>
        <v>Unitario</v>
      </c>
      <c r="H1088">
        <f>IFERROR(IF(Mangueras!K26="",0,Mangueras!K26),0)</f>
        <v>0</v>
      </c>
      <c r="I1088" s="58" t="str">
        <f>IF(H1088&gt;0, MAX(I$1:I1087)+1, "")</f>
        <v/>
      </c>
    </row>
    <row r="1089" spans="1:9" x14ac:dyDescent="0.2">
      <c r="A1089" t="s">
        <v>30</v>
      </c>
      <c r="B1089" t="str">
        <f>Mangueras!A27</f>
        <v>Conducción Fluidos</v>
      </c>
      <c r="C1089" t="str">
        <f>Mangueras!B27</f>
        <v>MANGUERAS Y ACCESORIOS</v>
      </c>
      <c r="D1089">
        <f>Mangueras!F27</f>
        <v>90020</v>
      </c>
      <c r="E1089" t="str">
        <f>Mangueras!G27</f>
        <v>MANGUERA CRISTAL 1/2" 20 MT (C)</v>
      </c>
      <c r="F1089">
        <f>Mangueras!H27</f>
        <v>1</v>
      </c>
      <c r="G1089" t="str">
        <f>Mangueras!I27</f>
        <v>Unitario</v>
      </c>
      <c r="H1089">
        <f>IFERROR(IF(Mangueras!K27="",0,Mangueras!K27),0)</f>
        <v>0</v>
      </c>
      <c r="I1089" s="58" t="str">
        <f>IF(H1089&gt;0, MAX(I$1:I1088)+1, "")</f>
        <v/>
      </c>
    </row>
    <row r="1090" spans="1:9" x14ac:dyDescent="0.2">
      <c r="A1090" t="s">
        <v>30</v>
      </c>
      <c r="B1090" t="str">
        <f>Mangueras!A28</f>
        <v>Conducción Fluidos</v>
      </c>
      <c r="C1090" t="str">
        <f>Mangueras!B28</f>
        <v>MANGUERAS Y ACCESORIOS</v>
      </c>
      <c r="D1090">
        <f>Mangueras!F28</f>
        <v>90021</v>
      </c>
      <c r="E1090" t="str">
        <f>Mangueras!G28</f>
        <v>SET MANGUERA CRISTAL 1/2" 10 MT (C)</v>
      </c>
      <c r="F1090">
        <f>Mangueras!H28</f>
        <v>1</v>
      </c>
      <c r="G1090" t="str">
        <f>Mangueras!I28</f>
        <v>Unitario</v>
      </c>
      <c r="H1090">
        <f>IFERROR(IF(Mangueras!K28="",0,Mangueras!K28),0)</f>
        <v>0</v>
      </c>
      <c r="I1090" s="58" t="str">
        <f>IF(H1090&gt;0, MAX(I$1:I1089)+1, "")</f>
        <v/>
      </c>
    </row>
    <row r="1091" spans="1:9" x14ac:dyDescent="0.2">
      <c r="A1091" t="s">
        <v>30</v>
      </c>
      <c r="B1091" t="str">
        <f>Mangueras!A29</f>
        <v>Conducción Fluidos</v>
      </c>
      <c r="C1091" t="str">
        <f>Mangueras!B29</f>
        <v>MANGUERAS Y ACCESORIOS</v>
      </c>
      <c r="D1091">
        <f>Mangueras!F29</f>
        <v>90022</v>
      </c>
      <c r="E1091" t="str">
        <f>Mangueras!G29</f>
        <v>SET MANGUERA CRISTAL 1/2" 15 MT (C)</v>
      </c>
      <c r="F1091">
        <f>Mangueras!H29</f>
        <v>1</v>
      </c>
      <c r="G1091" t="str">
        <f>Mangueras!I29</f>
        <v>Unitario</v>
      </c>
      <c r="H1091">
        <f>IFERROR(IF(Mangueras!K29="",0,Mangueras!K29),0)</f>
        <v>0</v>
      </c>
      <c r="I1091" s="58" t="str">
        <f>IF(H1091&gt;0, MAX(I$1:I1090)+1, "")</f>
        <v/>
      </c>
    </row>
    <row r="1092" spans="1:9" x14ac:dyDescent="0.2">
      <c r="A1092" t="s">
        <v>30</v>
      </c>
      <c r="B1092" t="str">
        <f>Mangueras!A30</f>
        <v>Conducción Fluidos</v>
      </c>
      <c r="C1092" t="str">
        <f>Mangueras!B30</f>
        <v>MANGUERAS Y ACCESORIOS</v>
      </c>
      <c r="D1092">
        <f>Mangueras!F30</f>
        <v>90023</v>
      </c>
      <c r="E1092" t="str">
        <f>Mangueras!G30</f>
        <v>SET MANGUERA CRISTAL 1/2" 20 MT (C)</v>
      </c>
      <c r="F1092">
        <f>Mangueras!H30</f>
        <v>1</v>
      </c>
      <c r="G1092" t="str">
        <f>Mangueras!I30</f>
        <v>Unitario</v>
      </c>
      <c r="H1092">
        <f>IFERROR(IF(Mangueras!K30="",0,Mangueras!K30),0)</f>
        <v>0</v>
      </c>
      <c r="I1092" s="58" t="str">
        <f>IF(H1092&gt;0, MAX(I$1:I1091)+1, "")</f>
        <v/>
      </c>
    </row>
    <row r="1093" spans="1:9" x14ac:dyDescent="0.2">
      <c r="A1093" t="s">
        <v>30</v>
      </c>
      <c r="B1093" t="str">
        <f>Mangueras!A31</f>
        <v>Conducción Fluidos</v>
      </c>
      <c r="C1093" t="str">
        <f>Mangueras!B31</f>
        <v>MANGUERAS Y ACCESORIOS</v>
      </c>
      <c r="D1093">
        <f>Mangueras!F31</f>
        <v>90024</v>
      </c>
      <c r="E1093" t="str">
        <f>Mangueras!G31</f>
        <v>MANGUERA DOUCOLOR 1/2" 10 MT</v>
      </c>
      <c r="F1093">
        <f>Mangueras!H31</f>
        <v>1</v>
      </c>
      <c r="G1093" t="str">
        <f>Mangueras!I31</f>
        <v>Unitario</v>
      </c>
      <c r="H1093">
        <f>IFERROR(IF(Mangueras!K31="",0,Mangueras!K31),0)</f>
        <v>0</v>
      </c>
      <c r="I1093" s="58" t="str">
        <f>IF(H1093&gt;0, MAX(I$1:I1092)+1, "")</f>
        <v/>
      </c>
    </row>
    <row r="1094" spans="1:9" x14ac:dyDescent="0.2">
      <c r="A1094" t="s">
        <v>30</v>
      </c>
      <c r="B1094" t="str">
        <f>Mangueras!A32</f>
        <v>Conducción Fluidos</v>
      </c>
      <c r="C1094" t="str">
        <f>Mangueras!B32</f>
        <v>MANGUERAS Y ACCESORIOS</v>
      </c>
      <c r="D1094">
        <f>Mangueras!F32</f>
        <v>90025</v>
      </c>
      <c r="E1094" t="str">
        <f>Mangueras!G32</f>
        <v>MANGUERA DOUCOLOR 1/2" 15 MT</v>
      </c>
      <c r="F1094">
        <f>Mangueras!H32</f>
        <v>1</v>
      </c>
      <c r="G1094" t="str">
        <f>Mangueras!I32</f>
        <v>Unitario</v>
      </c>
      <c r="H1094">
        <f>IFERROR(IF(Mangueras!K32="",0,Mangueras!K32),0)</f>
        <v>0</v>
      </c>
      <c r="I1094" s="58" t="str">
        <f>IF(H1094&gt;0, MAX(I$1:I1093)+1, "")</f>
        <v/>
      </c>
    </row>
    <row r="1095" spans="1:9" x14ac:dyDescent="0.2">
      <c r="A1095" t="s">
        <v>30</v>
      </c>
      <c r="B1095" t="str">
        <f>Mangueras!A33</f>
        <v>Conducción Fluidos</v>
      </c>
      <c r="C1095" t="str">
        <f>Mangueras!B33</f>
        <v>MANGUERAS Y ACCESORIOS</v>
      </c>
      <c r="D1095">
        <f>Mangueras!F33</f>
        <v>90026</v>
      </c>
      <c r="E1095" t="str">
        <f>Mangueras!G33</f>
        <v>MANGUERA DOUCOLOR 1/2" 20 MT</v>
      </c>
      <c r="F1095">
        <f>Mangueras!H33</f>
        <v>1</v>
      </c>
      <c r="G1095" t="str">
        <f>Mangueras!I33</f>
        <v>Unitario</v>
      </c>
      <c r="H1095">
        <f>IFERROR(IF(Mangueras!K33="",0,Mangueras!K33),0)</f>
        <v>0</v>
      </c>
      <c r="I1095" s="58" t="str">
        <f>IF(H1095&gt;0, MAX(I$1:I1094)+1, "")</f>
        <v/>
      </c>
    </row>
    <row r="1096" spans="1:9" x14ac:dyDescent="0.2">
      <c r="A1096" t="s">
        <v>30</v>
      </c>
      <c r="B1096" t="str">
        <f>Mangueras!A34</f>
        <v>Conducción Fluidos</v>
      </c>
      <c r="C1096" t="str">
        <f>Mangueras!B34</f>
        <v>MANGUERAS Y ACCESORIOS</v>
      </c>
      <c r="D1096">
        <f>Mangueras!F34</f>
        <v>90027</v>
      </c>
      <c r="E1096" t="str">
        <f>Mangueras!G34</f>
        <v>SET MANGUERA DOUCOLOR 1/2" 10 MT</v>
      </c>
      <c r="F1096">
        <f>Mangueras!H34</f>
        <v>1</v>
      </c>
      <c r="G1096" t="str">
        <f>Mangueras!I34</f>
        <v>Unitario</v>
      </c>
      <c r="H1096">
        <f>IFERROR(IF(Mangueras!K34="",0,Mangueras!K34),0)</f>
        <v>0</v>
      </c>
      <c r="I1096" s="58" t="str">
        <f>IF(H1096&gt;0, MAX(I$1:I1095)+1, "")</f>
        <v/>
      </c>
    </row>
    <row r="1097" spans="1:9" x14ac:dyDescent="0.2">
      <c r="A1097" t="s">
        <v>30</v>
      </c>
      <c r="B1097" t="str">
        <f>Mangueras!A35</f>
        <v>Conducción Fluidos</v>
      </c>
      <c r="C1097" t="str">
        <f>Mangueras!B35</f>
        <v>MANGUERAS Y ACCESORIOS</v>
      </c>
      <c r="D1097">
        <f>Mangueras!F35</f>
        <v>90028</v>
      </c>
      <c r="E1097" t="str">
        <f>Mangueras!G35</f>
        <v>SET MANGUERA DOUCOLOR 1/2" 15 MT</v>
      </c>
      <c r="F1097">
        <f>Mangueras!H35</f>
        <v>1</v>
      </c>
      <c r="G1097" t="str">
        <f>Mangueras!I35</f>
        <v>Unitario</v>
      </c>
      <c r="H1097">
        <f>IFERROR(IF(Mangueras!K35="",0,Mangueras!K35),0)</f>
        <v>0</v>
      </c>
      <c r="I1097" s="58" t="str">
        <f>IF(H1097&gt;0, MAX(I$1:I1096)+1, "")</f>
        <v/>
      </c>
    </row>
    <row r="1098" spans="1:9" x14ac:dyDescent="0.2">
      <c r="A1098" t="s">
        <v>30</v>
      </c>
      <c r="B1098" t="str">
        <f>Mangueras!A36</f>
        <v>Conducción Fluidos</v>
      </c>
      <c r="C1098" t="str">
        <f>Mangueras!B36</f>
        <v>MANGUERAS Y ACCESORIOS</v>
      </c>
      <c r="D1098">
        <f>Mangueras!F36</f>
        <v>90029</v>
      </c>
      <c r="E1098" t="str">
        <f>Mangueras!G36</f>
        <v>SET MANGUERA DOUCOLOR 1/2" 20 MT</v>
      </c>
      <c r="F1098">
        <f>Mangueras!H36</f>
        <v>1</v>
      </c>
      <c r="G1098" t="str">
        <f>Mangueras!I36</f>
        <v>Unitario</v>
      </c>
      <c r="H1098">
        <f>IFERROR(IF(Mangueras!K36="",0,Mangueras!K36),0)</f>
        <v>0</v>
      </c>
      <c r="I1098" s="58" t="str">
        <f>IF(H1098&gt;0, MAX(I$1:I1097)+1, "")</f>
        <v/>
      </c>
    </row>
    <row r="1099" spans="1:9" x14ac:dyDescent="0.2">
      <c r="A1099" t="s">
        <v>30</v>
      </c>
      <c r="B1099" t="str">
        <f>Mangueras!A37</f>
        <v>Conducción Fluidos</v>
      </c>
      <c r="C1099" t="str">
        <f>Mangueras!B37</f>
        <v>MANGUERAS Y ACCESORIOS</v>
      </c>
      <c r="D1099">
        <f>Mangueras!F37</f>
        <v>90030</v>
      </c>
      <c r="E1099" t="str">
        <f>Mangueras!G37</f>
        <v>MANGUERA MUNICIPAL 1" VERDE 50 MT</v>
      </c>
      <c r="F1099">
        <f>Mangueras!H37</f>
        <v>1</v>
      </c>
      <c r="G1099" t="str">
        <f>Mangueras!I37</f>
        <v>Unitario</v>
      </c>
      <c r="H1099">
        <f>IFERROR(IF(Mangueras!K37="",0,Mangueras!K37),0)</f>
        <v>0</v>
      </c>
      <c r="I1099" s="58" t="str">
        <f>IF(H1099&gt;0, MAX(I$1:I1098)+1, "")</f>
        <v/>
      </c>
    </row>
    <row r="1100" spans="1:9" x14ac:dyDescent="0.2">
      <c r="A1100" t="s">
        <v>30</v>
      </c>
      <c r="B1100" t="str">
        <f>Mangueras!A38</f>
        <v>Conducción Fluidos</v>
      </c>
      <c r="C1100" t="str">
        <f>Mangueras!B38</f>
        <v>MANGUERAS Y ACCESORIOS</v>
      </c>
      <c r="D1100">
        <f>Mangueras!F38</f>
        <v>90031</v>
      </c>
      <c r="E1100" t="str">
        <f>Mangueras!G38</f>
        <v>MANGUERA MUNICIPAL 1 1/4" VERDE 50 MT</v>
      </c>
      <c r="F1100">
        <f>Mangueras!H38</f>
        <v>1</v>
      </c>
      <c r="G1100" t="str">
        <f>Mangueras!I38</f>
        <v>Unitario</v>
      </c>
      <c r="H1100">
        <f>IFERROR(IF(Mangueras!K38="",0,Mangueras!K38),0)</f>
        <v>0</v>
      </c>
      <c r="I1100" s="58" t="str">
        <f>IF(H1100&gt;0, MAX(I$1:I1099)+1, "")</f>
        <v/>
      </c>
    </row>
    <row r="1101" spans="1:9" x14ac:dyDescent="0.2">
      <c r="A1101" t="s">
        <v>30</v>
      </c>
      <c r="B1101" t="str">
        <f>Mangueras!A39</f>
        <v>Conducción Fluidos</v>
      </c>
      <c r="C1101" t="str">
        <f>Mangueras!B39</f>
        <v>MANGUERAS Y ACCESORIOS</v>
      </c>
      <c r="D1101">
        <f>Mangueras!F39</f>
        <v>90032</v>
      </c>
      <c r="E1101" t="str">
        <f>Mangueras!G39</f>
        <v>MANGUERA MUNICIPAL 1 1/2" VERDE 50 MT</v>
      </c>
      <c r="F1101">
        <f>Mangueras!H39</f>
        <v>1</v>
      </c>
      <c r="G1101" t="str">
        <f>Mangueras!I39</f>
        <v>Unitario</v>
      </c>
      <c r="H1101">
        <f>IFERROR(IF(Mangueras!K39="",0,Mangueras!K39),0)</f>
        <v>0</v>
      </c>
      <c r="I1101" s="58" t="str">
        <f>IF(H1101&gt;0, MAX(I$1:I1100)+1, "")</f>
        <v/>
      </c>
    </row>
    <row r="1102" spans="1:9" x14ac:dyDescent="0.2">
      <c r="A1102" t="s">
        <v>30</v>
      </c>
      <c r="B1102" t="str">
        <f>Mangueras!A40</f>
        <v>Conducción Fluidos</v>
      </c>
      <c r="C1102" t="str">
        <f>Mangueras!B40</f>
        <v>MANGUERAS Y ACCESORIOS</v>
      </c>
      <c r="D1102">
        <f>Mangueras!F40</f>
        <v>90033</v>
      </c>
      <c r="E1102" t="str">
        <f>Mangueras!G40</f>
        <v>MANGUERA MUNICIPAL 2" VERDE 50 MT</v>
      </c>
      <c r="F1102">
        <f>Mangueras!H40</f>
        <v>1</v>
      </c>
      <c r="G1102" t="str">
        <f>Mangueras!I40</f>
        <v>Unitario</v>
      </c>
      <c r="H1102">
        <f>IFERROR(IF(Mangueras!K40="",0,Mangueras!K40),0)</f>
        <v>0</v>
      </c>
      <c r="I1102" s="58" t="str">
        <f>IF(H1102&gt;0, MAX(I$1:I1101)+1, "")</f>
        <v/>
      </c>
    </row>
    <row r="1103" spans="1:9" x14ac:dyDescent="0.2">
      <c r="A1103" t="s">
        <v>30</v>
      </c>
      <c r="B1103" t="str">
        <f>Mangueras!A41</f>
        <v>Conducción Fluidos</v>
      </c>
      <c r="C1103" t="str">
        <f>Mangueras!B41</f>
        <v>MANGUERAS Y ACCESORIOS</v>
      </c>
      <c r="D1103">
        <f>Mangueras!F41</f>
        <v>90039</v>
      </c>
      <c r="E1103" t="str">
        <f>Mangueras!G41</f>
        <v>MANGUERA MALLAFLEX JARD 1/2" VERD 100 MT</v>
      </c>
      <c r="F1103">
        <f>Mangueras!H41</f>
        <v>1</v>
      </c>
      <c r="G1103" t="str">
        <f>Mangueras!I41</f>
        <v>Unitario</v>
      </c>
      <c r="H1103">
        <f>IFERROR(IF(Mangueras!K41="",0,Mangueras!K41),0)</f>
        <v>0</v>
      </c>
      <c r="I1103" s="58" t="str">
        <f>IF(H1103&gt;0, MAX(I$1:I1102)+1, "")</f>
        <v/>
      </c>
    </row>
    <row r="1104" spans="1:9" x14ac:dyDescent="0.2">
      <c r="A1104" t="s">
        <v>30</v>
      </c>
      <c r="B1104" t="str">
        <f>Mangueras!A42</f>
        <v>Conducción Fluidos</v>
      </c>
      <c r="C1104" t="str">
        <f>Mangueras!B42</f>
        <v>MANGUERAS Y ACCESORIOS</v>
      </c>
      <c r="D1104">
        <f>Mangueras!F42</f>
        <v>90040</v>
      </c>
      <c r="E1104" t="str">
        <f>Mangueras!G42</f>
        <v>MANGUERA MALLAFLEX JARD 3/4" VERD 100 MT</v>
      </c>
      <c r="F1104">
        <f>Mangueras!H42</f>
        <v>1</v>
      </c>
      <c r="G1104" t="str">
        <f>Mangueras!I42</f>
        <v>Unitario</v>
      </c>
      <c r="H1104">
        <f>IFERROR(IF(Mangueras!K42="",0,Mangueras!K42),0)</f>
        <v>0</v>
      </c>
      <c r="I1104" s="58" t="str">
        <f>IF(H1104&gt;0, MAX(I$1:I1103)+1, "")</f>
        <v/>
      </c>
    </row>
    <row r="1105" spans="1:9" x14ac:dyDescent="0.2">
      <c r="A1105" t="s">
        <v>30</v>
      </c>
      <c r="B1105" t="str">
        <f>Mangueras!A43</f>
        <v>Conducción Fluidos</v>
      </c>
      <c r="C1105" t="str">
        <f>Mangueras!B43</f>
        <v>MANGUERAS Y ACCESORIOS</v>
      </c>
      <c r="D1105">
        <f>Mangueras!F43</f>
        <v>90041</v>
      </c>
      <c r="E1105" t="str">
        <f>Mangueras!G43</f>
        <v>MANGUERA MALLAFLEX JARDIN 1" VERDE 50 MT</v>
      </c>
      <c r="F1105">
        <f>Mangueras!H43</f>
        <v>1</v>
      </c>
      <c r="G1105" t="str">
        <f>Mangueras!I43</f>
        <v>Unitario</v>
      </c>
      <c r="H1105">
        <f>IFERROR(IF(Mangueras!K43="",0,Mangueras!K43),0)</f>
        <v>0</v>
      </c>
      <c r="I1105" s="58" t="str">
        <f>IF(H1105&gt;0, MAX(I$1:I1104)+1, "")</f>
        <v/>
      </c>
    </row>
    <row r="1106" spans="1:9" x14ac:dyDescent="0.2">
      <c r="A1106" t="s">
        <v>30</v>
      </c>
      <c r="B1106" t="str">
        <f>Mangueras!A44</f>
        <v>Conducción Fluidos</v>
      </c>
      <c r="C1106" t="str">
        <f>Mangueras!B44</f>
        <v>MANGUERAS Y ACCESORIOS</v>
      </c>
      <c r="D1106">
        <f>Mangueras!F44</f>
        <v>90042</v>
      </c>
      <c r="E1106" t="str">
        <f>Mangueras!G44</f>
        <v>SET MANGUERA MALLAFLEX JARDIN 1/2" 10 MT</v>
      </c>
      <c r="F1106">
        <f>Mangueras!H44</f>
        <v>1</v>
      </c>
      <c r="G1106" t="str">
        <f>Mangueras!I44</f>
        <v>Unitario</v>
      </c>
      <c r="H1106">
        <f>IFERROR(IF(Mangueras!K44="",0,Mangueras!K44),0)</f>
        <v>0</v>
      </c>
      <c r="I1106" s="58" t="str">
        <f>IF(H1106&gt;0, MAX(I$1:I1105)+1, "")</f>
        <v/>
      </c>
    </row>
    <row r="1107" spans="1:9" x14ac:dyDescent="0.2">
      <c r="A1107" t="s">
        <v>30</v>
      </c>
      <c r="B1107" t="str">
        <f>Mangueras!A45</f>
        <v>Conducción Fluidos</v>
      </c>
      <c r="C1107" t="str">
        <f>Mangueras!B45</f>
        <v>MANGUERAS Y ACCESORIOS</v>
      </c>
      <c r="D1107">
        <f>Mangueras!F45</f>
        <v>90043</v>
      </c>
      <c r="E1107" t="str">
        <f>Mangueras!G45</f>
        <v>SET MANGUERA MALLAFLEX JARDIN 1/2" 15 MT</v>
      </c>
      <c r="F1107">
        <f>Mangueras!H45</f>
        <v>1</v>
      </c>
      <c r="G1107" t="str">
        <f>Mangueras!I45</f>
        <v>Unitario</v>
      </c>
      <c r="H1107">
        <f>IFERROR(IF(Mangueras!K45="",0,Mangueras!K45),0)</f>
        <v>0</v>
      </c>
      <c r="I1107" s="58" t="str">
        <f>IF(H1107&gt;0, MAX(I$1:I1106)+1, "")</f>
        <v/>
      </c>
    </row>
    <row r="1108" spans="1:9" x14ac:dyDescent="0.2">
      <c r="A1108" t="s">
        <v>30</v>
      </c>
      <c r="B1108" t="str">
        <f>Mangueras!A46</f>
        <v>Conducción Fluidos</v>
      </c>
      <c r="C1108" t="str">
        <f>Mangueras!B46</f>
        <v>MANGUERAS Y ACCESORIOS</v>
      </c>
      <c r="D1108">
        <f>Mangueras!F46</f>
        <v>90044</v>
      </c>
      <c r="E1108" t="str">
        <f>Mangueras!G46</f>
        <v>SET MANGUERA MALLAFLEX JARDIN 1/2" 20 MT</v>
      </c>
      <c r="F1108">
        <f>Mangueras!H46</f>
        <v>1</v>
      </c>
      <c r="G1108" t="str">
        <f>Mangueras!I46</f>
        <v>Unitario</v>
      </c>
      <c r="H1108">
        <f>IFERROR(IF(Mangueras!K46="",0,Mangueras!K46),0)</f>
        <v>0</v>
      </c>
      <c r="I1108" s="58" t="str">
        <f>IF(H1108&gt;0, MAX(I$1:I1107)+1, "")</f>
        <v/>
      </c>
    </row>
    <row r="1109" spans="1:9" x14ac:dyDescent="0.2">
      <c r="A1109" t="s">
        <v>30</v>
      </c>
      <c r="B1109" t="str">
        <f>Mangueras!A47</f>
        <v>Conducción Fluidos</v>
      </c>
      <c r="C1109" t="str">
        <f>Mangueras!B47</f>
        <v>MANGUERAS Y ACCESORIOS</v>
      </c>
      <c r="D1109">
        <f>Mangueras!F47</f>
        <v>90045</v>
      </c>
      <c r="E1109" t="str">
        <f>Mangueras!G47</f>
        <v>MANGUERA MALLAFLEX A/TORS VERD 1/2 100MT</v>
      </c>
      <c r="F1109">
        <f>Mangueras!H47</f>
        <v>1</v>
      </c>
      <c r="G1109" t="str">
        <f>Mangueras!I47</f>
        <v>Unitario</v>
      </c>
      <c r="H1109">
        <f>IFERROR(IF(Mangueras!K47="",0,Mangueras!K47),0)</f>
        <v>0</v>
      </c>
      <c r="I1109" s="58" t="str">
        <f>IF(H1109&gt;0, MAX(I$1:I1108)+1, "")</f>
        <v/>
      </c>
    </row>
    <row r="1110" spans="1:9" x14ac:dyDescent="0.2">
      <c r="A1110" t="s">
        <v>30</v>
      </c>
      <c r="B1110" t="str">
        <f>Mangueras!A48</f>
        <v>Conducción Fluidos</v>
      </c>
      <c r="C1110" t="str">
        <f>Mangueras!B48</f>
        <v>MANGUERAS Y ACCESORIOS</v>
      </c>
      <c r="D1110">
        <f>Mangueras!F48</f>
        <v>90046</v>
      </c>
      <c r="E1110" t="str">
        <f>Mangueras!G48</f>
        <v>MANGUERA MALLAFLEX A/TORS VERD 3/4 100MT</v>
      </c>
      <c r="F1110">
        <f>Mangueras!H48</f>
        <v>1</v>
      </c>
      <c r="G1110" t="str">
        <f>Mangueras!I48</f>
        <v>Unitario</v>
      </c>
      <c r="H1110">
        <f>IFERROR(IF(Mangueras!K48="",0,Mangueras!K48),0)</f>
        <v>0</v>
      </c>
      <c r="I1110" s="58" t="str">
        <f>IF(H1110&gt;0, MAX(I$1:I1109)+1, "")</f>
        <v/>
      </c>
    </row>
    <row r="1111" spans="1:9" x14ac:dyDescent="0.2">
      <c r="A1111" t="s">
        <v>30</v>
      </c>
      <c r="B1111" t="str">
        <f>Mangueras!A49</f>
        <v>Conducción Fluidos</v>
      </c>
      <c r="C1111" t="str">
        <f>Mangueras!B49</f>
        <v>MANGUERAS Y ACCESORIOS</v>
      </c>
      <c r="D1111">
        <f>Mangueras!F49</f>
        <v>90047</v>
      </c>
      <c r="E1111" t="str">
        <f>Mangueras!G49</f>
        <v>MANGUERA MALLAFLEX A/TORS VERDE 1" 50 MT</v>
      </c>
      <c r="F1111">
        <f>Mangueras!H49</f>
        <v>1</v>
      </c>
      <c r="G1111" t="str">
        <f>Mangueras!I49</f>
        <v>Unitario</v>
      </c>
      <c r="H1111">
        <f>IFERROR(IF(Mangueras!K49="",0,Mangueras!K49),0)</f>
        <v>0</v>
      </c>
      <c r="I1111" s="58" t="str">
        <f>IF(H1111&gt;0, MAX(I$1:I1110)+1, "")</f>
        <v/>
      </c>
    </row>
    <row r="1112" spans="1:9" x14ac:dyDescent="0.2">
      <c r="A1112" t="s">
        <v>30</v>
      </c>
      <c r="B1112" t="str">
        <f>Mangueras!A50</f>
        <v>Conducción Fluidos</v>
      </c>
      <c r="C1112" t="str">
        <f>Mangueras!B50</f>
        <v>MANGUERAS Y ACCESORIOS</v>
      </c>
      <c r="D1112">
        <f>Mangueras!F50</f>
        <v>90048</v>
      </c>
      <c r="E1112" t="str">
        <f>Mangueras!G50</f>
        <v>SET MANGUERA MALLAFLEX A/TORS 1/2" 10 MT</v>
      </c>
      <c r="F1112">
        <f>Mangueras!H50</f>
        <v>1</v>
      </c>
      <c r="G1112" t="str">
        <f>Mangueras!I50</f>
        <v>Unitario</v>
      </c>
      <c r="H1112">
        <f>IFERROR(IF(Mangueras!K50="",0,Mangueras!K50),0)</f>
        <v>0</v>
      </c>
      <c r="I1112" s="58" t="str">
        <f>IF(H1112&gt;0, MAX(I$1:I1111)+1, "")</f>
        <v/>
      </c>
    </row>
    <row r="1113" spans="1:9" x14ac:dyDescent="0.2">
      <c r="A1113" t="s">
        <v>30</v>
      </c>
      <c r="B1113" t="str">
        <f>Mangueras!A51</f>
        <v>Conducción Fluidos</v>
      </c>
      <c r="C1113" t="str">
        <f>Mangueras!B51</f>
        <v>MANGUERAS Y ACCESORIOS</v>
      </c>
      <c r="D1113">
        <f>Mangueras!F51</f>
        <v>90049</v>
      </c>
      <c r="E1113" t="str">
        <f>Mangueras!G51</f>
        <v>SET MANGUERA MALLAFLEX A/TORS 1/2" 15 MT</v>
      </c>
      <c r="F1113">
        <f>Mangueras!H51</f>
        <v>1</v>
      </c>
      <c r="G1113" t="str">
        <f>Mangueras!I51</f>
        <v>Unitario</v>
      </c>
      <c r="H1113">
        <f>IFERROR(IF(Mangueras!K51="",0,Mangueras!K51),0)</f>
        <v>0</v>
      </c>
      <c r="I1113" s="58" t="str">
        <f>IF(H1113&gt;0, MAX(I$1:I1112)+1, "")</f>
        <v/>
      </c>
    </row>
    <row r="1114" spans="1:9" x14ac:dyDescent="0.2">
      <c r="A1114" t="s">
        <v>30</v>
      </c>
      <c r="B1114" t="str">
        <f>Mangueras!A52</f>
        <v>Conducción Fluidos</v>
      </c>
      <c r="C1114" t="str">
        <f>Mangueras!B52</f>
        <v>MANGUERAS Y ACCESORIOS</v>
      </c>
      <c r="D1114">
        <f>Mangueras!F52</f>
        <v>90050</v>
      </c>
      <c r="E1114" t="str">
        <f>Mangueras!G52</f>
        <v>SET MANGUERA MALLAFLEX A/TORS 1/2" 20 MT</v>
      </c>
      <c r="F1114">
        <f>Mangueras!H52</f>
        <v>1</v>
      </c>
      <c r="G1114" t="str">
        <f>Mangueras!I52</f>
        <v>Unitario</v>
      </c>
      <c r="H1114">
        <f>IFERROR(IF(Mangueras!K52="",0,Mangueras!K52),0)</f>
        <v>0</v>
      </c>
      <c r="I1114" s="58" t="str">
        <f>IF(H1114&gt;0, MAX(I$1:I1113)+1, "")</f>
        <v/>
      </c>
    </row>
    <row r="1115" spans="1:9" x14ac:dyDescent="0.2">
      <c r="A1115" t="s">
        <v>30</v>
      </c>
      <c r="B1115" t="str">
        <f>Mangueras!A53</f>
        <v>Conducción Fluidos</v>
      </c>
      <c r="C1115" t="str">
        <f>Mangueras!B53</f>
        <v>MANGUERAS Y ACCESORIOS</v>
      </c>
      <c r="D1115">
        <f>Mangueras!F53</f>
        <v>90051</v>
      </c>
      <c r="E1115" t="str">
        <f>Mangueras!G53</f>
        <v>SET CONECTOR RAPIDO 1/2" C/ PITON AJUST.</v>
      </c>
      <c r="F1115">
        <f>Mangueras!H53</f>
        <v>1</v>
      </c>
      <c r="G1115" t="str">
        <f>Mangueras!I53</f>
        <v>Unitario</v>
      </c>
      <c r="H1115">
        <f>IFERROR(IF(Mangueras!K53="",0,Mangueras!K53),0)</f>
        <v>0</v>
      </c>
      <c r="I1115" s="58" t="str">
        <f>IF(H1115&gt;0, MAX(I$1:I1114)+1, "")</f>
        <v/>
      </c>
    </row>
    <row r="1116" spans="1:9" x14ac:dyDescent="0.2">
      <c r="A1116" t="s">
        <v>30</v>
      </c>
      <c r="B1116" t="str">
        <f>Mangueras!A54</f>
        <v>Conducción Fluidos</v>
      </c>
      <c r="C1116" t="str">
        <f>Mangueras!B54</f>
        <v>MANGUERAS Y ACCESORIOS</v>
      </c>
      <c r="D1116">
        <f>Mangueras!F54</f>
        <v>90052</v>
      </c>
      <c r="E1116" t="str">
        <f>Mangueras!G54</f>
        <v>SET CONECTOR RAPIDO 5/8" C/ PITON AJUST.</v>
      </c>
      <c r="F1116">
        <f>Mangueras!H54</f>
        <v>1</v>
      </c>
      <c r="G1116" t="str">
        <f>Mangueras!I54</f>
        <v>Unitario</v>
      </c>
      <c r="H1116">
        <f>IFERROR(IF(Mangueras!K54="",0,Mangueras!K54),0)</f>
        <v>0</v>
      </c>
      <c r="I1116" s="58" t="str">
        <f>IF(H1116&gt;0, MAX(I$1:I1115)+1, "")</f>
        <v/>
      </c>
    </row>
    <row r="1117" spans="1:9" x14ac:dyDescent="0.2">
      <c r="A1117" t="s">
        <v>30</v>
      </c>
      <c r="B1117" t="str">
        <f>Mangueras!A55</f>
        <v>Conducción Fluidos</v>
      </c>
      <c r="C1117" t="str">
        <f>Mangueras!B55</f>
        <v>MANGUERAS Y ACCESORIOS</v>
      </c>
      <c r="D1117">
        <f>Mangueras!F55</f>
        <v>90053</v>
      </c>
      <c r="E1117" t="str">
        <f>Mangueras!G55</f>
        <v>PORTAMANGUERA</v>
      </c>
      <c r="F1117">
        <f>Mangueras!H55</f>
        <v>1</v>
      </c>
      <c r="G1117" t="str">
        <f>Mangueras!I55</f>
        <v>Unitario</v>
      </c>
      <c r="H1117">
        <f>IFERROR(IF(Mangueras!K55="",0,Mangueras!K55),0)</f>
        <v>0</v>
      </c>
      <c r="I1117" s="58" t="str">
        <f>IF(H1117&gt;0, MAX(I$1:I1116)+1, "")</f>
        <v/>
      </c>
    </row>
    <row r="1118" spans="1:9" x14ac:dyDescent="0.2">
      <c r="A1118" t="s">
        <v>30</v>
      </c>
      <c r="B1118" t="str">
        <f>Mangueras!A56</f>
        <v>Conducción Fluidos</v>
      </c>
      <c r="C1118" t="str">
        <f>Mangueras!B56</f>
        <v>MANGUERAS Y ACCESORIOS</v>
      </c>
      <c r="D1118">
        <f>Mangueras!F56</f>
        <v>90060</v>
      </c>
      <c r="E1118" t="str">
        <f>Mangueras!G56</f>
        <v>MANGUERA LIQUIFLEX 3/4' ROLLO 25MT</v>
      </c>
      <c r="F1118">
        <f>Mangueras!H56</f>
        <v>1</v>
      </c>
      <c r="G1118" t="str">
        <f>Mangueras!I56</f>
        <v>Unitario</v>
      </c>
      <c r="H1118">
        <f>IFERROR(IF(Mangueras!K56="",0,Mangueras!K56),0)</f>
        <v>0</v>
      </c>
      <c r="I1118" s="58" t="str">
        <f>IF(H1118&gt;0, MAX(I$1:I1117)+1, "")</f>
        <v/>
      </c>
    </row>
    <row r="1119" spans="1:9" x14ac:dyDescent="0.2">
      <c r="A1119" t="s">
        <v>30</v>
      </c>
      <c r="B1119" t="str">
        <f>Mangueras!A57</f>
        <v>Conducción Fluidos</v>
      </c>
      <c r="C1119" t="str">
        <f>Mangueras!B57</f>
        <v>MANGUERAS Y ACCESORIOS</v>
      </c>
      <c r="D1119">
        <f>Mangueras!F57</f>
        <v>90061</v>
      </c>
      <c r="E1119" t="str">
        <f>Mangueras!G57</f>
        <v>MANGUERA LIQUIFLEX 1' ROLLO 50MT</v>
      </c>
      <c r="F1119">
        <f>Mangueras!H57</f>
        <v>1</v>
      </c>
      <c r="G1119" t="str">
        <f>Mangueras!I57</f>
        <v>Unitario</v>
      </c>
      <c r="H1119">
        <f>IFERROR(IF(Mangueras!K57="",0,Mangueras!K57),0)</f>
        <v>0</v>
      </c>
      <c r="I1119" s="58" t="str">
        <f>IF(H1119&gt;0, MAX(I$1:I1118)+1, "")</f>
        <v/>
      </c>
    </row>
    <row r="1120" spans="1:9" x14ac:dyDescent="0.2">
      <c r="A1120" t="s">
        <v>30</v>
      </c>
      <c r="B1120" t="str">
        <f>Mangueras!A58</f>
        <v>Conducción Fluidos</v>
      </c>
      <c r="C1120" t="str">
        <f>Mangueras!B58</f>
        <v>MANGUERAS Y ACCESORIOS</v>
      </c>
      <c r="D1120">
        <f>Mangueras!F58</f>
        <v>90062</v>
      </c>
      <c r="E1120" t="str">
        <f>Mangueras!G58</f>
        <v>MANGUERA LIQUIFLEX 1 1/4' ROLLO 50MT</v>
      </c>
      <c r="F1120">
        <f>Mangueras!H58</f>
        <v>1</v>
      </c>
      <c r="G1120" t="str">
        <f>Mangueras!I58</f>
        <v>Unitario</v>
      </c>
      <c r="H1120">
        <f>IFERROR(IF(Mangueras!K58="",0,Mangueras!K58),0)</f>
        <v>0</v>
      </c>
      <c r="I1120" s="58" t="str">
        <f>IF(H1120&gt;0, MAX(I$1:I1119)+1, "")</f>
        <v/>
      </c>
    </row>
    <row r="1121" spans="1:9" x14ac:dyDescent="0.2">
      <c r="A1121" t="s">
        <v>30</v>
      </c>
      <c r="B1121" t="str">
        <f>Mangueras!A59</f>
        <v>Conducción Fluidos</v>
      </c>
      <c r="C1121" t="str">
        <f>Mangueras!B59</f>
        <v>MANGUERAS Y ACCESORIOS</v>
      </c>
      <c r="D1121">
        <f>Mangueras!F59</f>
        <v>90063</v>
      </c>
      <c r="E1121" t="str">
        <f>Mangueras!G59</f>
        <v>MANGUERA LIQUIFLEX 1 1/2' ROLLO 50MT</v>
      </c>
      <c r="F1121">
        <f>Mangueras!H59</f>
        <v>1</v>
      </c>
      <c r="G1121" t="str">
        <f>Mangueras!I59</f>
        <v>Unitario</v>
      </c>
      <c r="H1121">
        <f>IFERROR(IF(Mangueras!K59="",0,Mangueras!K59),0)</f>
        <v>0</v>
      </c>
      <c r="I1121" s="58" t="str">
        <f>IF(H1121&gt;0, MAX(I$1:I1120)+1, "")</f>
        <v/>
      </c>
    </row>
    <row r="1122" spans="1:9" x14ac:dyDescent="0.2">
      <c r="A1122" t="s">
        <v>30</v>
      </c>
      <c r="B1122" t="str">
        <f>Mangueras!A60</f>
        <v>Conducción Fluidos</v>
      </c>
      <c r="C1122" t="str">
        <f>Mangueras!B60</f>
        <v>MANGUERAS Y ACCESORIOS</v>
      </c>
      <c r="D1122">
        <f>Mangueras!F60</f>
        <v>90064</v>
      </c>
      <c r="E1122" t="str">
        <f>Mangueras!G60</f>
        <v>MANGUERA LIQUIFLEX 2' ROLLO 50MT</v>
      </c>
      <c r="F1122">
        <f>Mangueras!H60</f>
        <v>1</v>
      </c>
      <c r="G1122" t="str">
        <f>Mangueras!I60</f>
        <v>Unitario</v>
      </c>
      <c r="H1122">
        <f>IFERROR(IF(Mangueras!K60="",0,Mangueras!K60),0)</f>
        <v>0</v>
      </c>
      <c r="I1122" s="58" t="str">
        <f>IF(H1122&gt;0, MAX(I$1:I1121)+1, "")</f>
        <v/>
      </c>
    </row>
    <row r="1123" spans="1:9" x14ac:dyDescent="0.2">
      <c r="A1123" t="s">
        <v>30</v>
      </c>
      <c r="B1123" t="str">
        <f>Mangueras!A61</f>
        <v>Conducción Fluidos</v>
      </c>
      <c r="C1123" t="str">
        <f>Mangueras!B61</f>
        <v>MANGUERAS Y ACCESORIOS</v>
      </c>
      <c r="D1123">
        <f>Mangueras!F61</f>
        <v>90065</v>
      </c>
      <c r="E1123" t="str">
        <f>Mangueras!G61</f>
        <v>MANGUERA LIQUIFLEX 2 1/2' ROLLO 25MT</v>
      </c>
      <c r="F1123">
        <f>Mangueras!H61</f>
        <v>1</v>
      </c>
      <c r="G1123" t="str">
        <f>Mangueras!I61</f>
        <v>Unitario</v>
      </c>
      <c r="H1123">
        <f>IFERROR(IF(Mangueras!K61="",0,Mangueras!K61),0)</f>
        <v>0</v>
      </c>
      <c r="I1123" s="58" t="str">
        <f>IF(H1123&gt;0, MAX(I$1:I1122)+1, "")</f>
        <v/>
      </c>
    </row>
    <row r="1124" spans="1:9" x14ac:dyDescent="0.2">
      <c r="A1124" t="s">
        <v>30</v>
      </c>
      <c r="B1124" t="str">
        <f>Mangueras!A62</f>
        <v>Conducción Fluidos</v>
      </c>
      <c r="C1124" t="str">
        <f>Mangueras!B62</f>
        <v>MANGUERAS Y ACCESORIOS</v>
      </c>
      <c r="D1124">
        <f>Mangueras!F62</f>
        <v>90066</v>
      </c>
      <c r="E1124" t="str">
        <f>Mangueras!G62</f>
        <v>MANGUERA LIQUIFLEX 3' ROLLO 25MT</v>
      </c>
      <c r="F1124">
        <f>Mangueras!H62</f>
        <v>1</v>
      </c>
      <c r="G1124" t="str">
        <f>Mangueras!I62</f>
        <v>Unitario</v>
      </c>
      <c r="H1124">
        <f>IFERROR(IF(Mangueras!K62="",0,Mangueras!K62),0)</f>
        <v>0</v>
      </c>
      <c r="I1124" s="58" t="str">
        <f>IF(H1124&gt;0, MAX(I$1:I1123)+1, "")</f>
        <v/>
      </c>
    </row>
    <row r="1125" spans="1:9" x14ac:dyDescent="0.2">
      <c r="A1125" t="s">
        <v>30</v>
      </c>
      <c r="B1125" t="str">
        <f>Mangueras!A63</f>
        <v>Conducción Fluidos</v>
      </c>
      <c r="C1125" t="str">
        <f>Mangueras!B63</f>
        <v>MANGUERAS Y ACCESORIOS</v>
      </c>
      <c r="D1125">
        <f>Mangueras!F63</f>
        <v>90067</v>
      </c>
      <c r="E1125" t="str">
        <f>Mangueras!G63</f>
        <v>MANGUERA LIQUIFLEX 4' ROLLO 25MT</v>
      </c>
      <c r="F1125">
        <f>Mangueras!H63</f>
        <v>1</v>
      </c>
      <c r="G1125" t="str">
        <f>Mangueras!I63</f>
        <v>Unitario</v>
      </c>
      <c r="H1125">
        <f>IFERROR(IF(Mangueras!K63="",0,Mangueras!K63),0)</f>
        <v>0</v>
      </c>
      <c r="I1125" s="58" t="str">
        <f>IF(H1125&gt;0, MAX(I$1:I1124)+1, "")</f>
        <v/>
      </c>
    </row>
    <row r="1126" spans="1:9" x14ac:dyDescent="0.2">
      <c r="A1126" t="s">
        <v>30</v>
      </c>
      <c r="B1126" t="str">
        <f>Mangueras!A64</f>
        <v>Conducción Fluidos</v>
      </c>
      <c r="C1126" t="str">
        <f>Mangueras!B64</f>
        <v>MANGUERAS Y ACCESORIOS</v>
      </c>
      <c r="D1126">
        <f>Mangueras!F64</f>
        <v>90069</v>
      </c>
      <c r="E1126" t="str">
        <f>Mangueras!G64</f>
        <v>MANGUERA LIQUIFLEX 6' ROLLO 25MT</v>
      </c>
      <c r="F1126">
        <f>Mangueras!H64</f>
        <v>1</v>
      </c>
      <c r="G1126" t="str">
        <f>Mangueras!I64</f>
        <v>Unitario</v>
      </c>
      <c r="H1126">
        <f>IFERROR(IF(Mangueras!K64="",0,Mangueras!K64),0)</f>
        <v>0</v>
      </c>
      <c r="I1126" s="58" t="str">
        <f>IF(H1126&gt;0, MAX(I$1:I1125)+1, "")</f>
        <v/>
      </c>
    </row>
    <row r="1127" spans="1:9" x14ac:dyDescent="0.2">
      <c r="A1127" t="s">
        <v>30</v>
      </c>
      <c r="B1127" t="str">
        <f>Mangueras!A65</f>
        <v>Conducción Fluidos</v>
      </c>
      <c r="C1127" t="str">
        <f>Mangueras!B65</f>
        <v>MANGUERAS Y ACCESORIOS</v>
      </c>
      <c r="D1127">
        <f>Mangueras!F65</f>
        <v>90070</v>
      </c>
      <c r="E1127" t="str">
        <f>Mangueras!G65</f>
        <v>MANGUERA LIQUIFLEX 8' TIRA 10MT</v>
      </c>
      <c r="F1127">
        <f>Mangueras!H65</f>
        <v>1</v>
      </c>
      <c r="G1127" t="str">
        <f>Mangueras!I65</f>
        <v>Unitario</v>
      </c>
      <c r="H1127">
        <f>IFERROR(IF(Mangueras!K65="",0,Mangueras!K65),0)</f>
        <v>0</v>
      </c>
      <c r="I1127" s="58" t="str">
        <f>IF(H1127&gt;0, MAX(I$1:I1126)+1, "")</f>
        <v/>
      </c>
    </row>
    <row r="1128" spans="1:9" x14ac:dyDescent="0.2">
      <c r="A1128" t="s">
        <v>30</v>
      </c>
      <c r="B1128" t="str">
        <f>Mangueras!A66</f>
        <v>Conducción Fluidos</v>
      </c>
      <c r="C1128" t="str">
        <f>Mangueras!B66</f>
        <v>MANGUERAS Y ACCESORIOS</v>
      </c>
      <c r="D1128">
        <f>Mangueras!F66</f>
        <v>90071</v>
      </c>
      <c r="E1128" t="str">
        <f>Mangueras!G66</f>
        <v>MANGUERA LIQUIFLEX 10' TIRA 10MT</v>
      </c>
      <c r="F1128">
        <f>Mangueras!H66</f>
        <v>1</v>
      </c>
      <c r="G1128" t="str">
        <f>Mangueras!I66</f>
        <v>Unitario</v>
      </c>
      <c r="H1128">
        <f>IFERROR(IF(Mangueras!K66="",0,Mangueras!K66),0)</f>
        <v>0</v>
      </c>
      <c r="I1128" s="58" t="str">
        <f>IF(H1128&gt;0, MAX(I$1:I1127)+1, "")</f>
        <v/>
      </c>
    </row>
    <row r="1129" spans="1:9" x14ac:dyDescent="0.2">
      <c r="A1129" t="s">
        <v>30</v>
      </c>
      <c r="B1129" t="str">
        <f>Mangueras!A67</f>
        <v>Conducción Fluidos</v>
      </c>
      <c r="C1129" t="str">
        <f>Mangueras!B67</f>
        <v>MANGUERAS Y ACCESORIOS</v>
      </c>
      <c r="D1129">
        <f>Mangueras!F67</f>
        <v>90073</v>
      </c>
      <c r="E1129" t="str">
        <f>Mangueras!G67</f>
        <v>MANGUERA AQUAFLEX 1' ROLLO 50MT</v>
      </c>
      <c r="F1129">
        <f>Mangueras!H67</f>
        <v>1</v>
      </c>
      <c r="G1129" t="str">
        <f>Mangueras!I67</f>
        <v>Unitario</v>
      </c>
      <c r="H1129">
        <f>IFERROR(IF(Mangueras!K67="",0,Mangueras!K67),0)</f>
        <v>0</v>
      </c>
      <c r="I1129" s="58" t="str">
        <f>IF(H1129&gt;0, MAX(I$1:I1128)+1, "")</f>
        <v/>
      </c>
    </row>
    <row r="1130" spans="1:9" x14ac:dyDescent="0.2">
      <c r="A1130" t="s">
        <v>30</v>
      </c>
      <c r="B1130" t="str">
        <f>Mangueras!A68</f>
        <v>Conducción Fluidos</v>
      </c>
      <c r="C1130" t="str">
        <f>Mangueras!B68</f>
        <v>MANGUERAS Y ACCESORIOS</v>
      </c>
      <c r="D1130">
        <f>Mangueras!F68</f>
        <v>90074</v>
      </c>
      <c r="E1130" t="str">
        <f>Mangueras!G68</f>
        <v>MANGUERA AQUAFLEX 1 1/4' ROLLO 50MT</v>
      </c>
      <c r="F1130">
        <f>Mangueras!H68</f>
        <v>1</v>
      </c>
      <c r="G1130" t="str">
        <f>Mangueras!I68</f>
        <v>Unitario</v>
      </c>
      <c r="H1130">
        <f>IFERROR(IF(Mangueras!K68="",0,Mangueras!K68),0)</f>
        <v>0</v>
      </c>
      <c r="I1130" s="58" t="str">
        <f>IF(H1130&gt;0, MAX(I$1:I1129)+1, "")</f>
        <v/>
      </c>
    </row>
    <row r="1131" spans="1:9" x14ac:dyDescent="0.2">
      <c r="A1131" t="s">
        <v>30</v>
      </c>
      <c r="B1131" t="str">
        <f>Mangueras!A69</f>
        <v>Conducción Fluidos</v>
      </c>
      <c r="C1131" t="str">
        <f>Mangueras!B69</f>
        <v>MANGUERAS Y ACCESORIOS</v>
      </c>
      <c r="D1131">
        <f>Mangueras!F69</f>
        <v>90075</v>
      </c>
      <c r="E1131" t="str">
        <f>Mangueras!G69</f>
        <v>MANGUERA AQUAFLEX 2' ROLLO 50MT</v>
      </c>
      <c r="F1131">
        <f>Mangueras!H69</f>
        <v>1</v>
      </c>
      <c r="G1131" t="str">
        <f>Mangueras!I69</f>
        <v>Unitario</v>
      </c>
      <c r="H1131">
        <f>IFERROR(IF(Mangueras!K69="",0,Mangueras!K69),0)</f>
        <v>0</v>
      </c>
      <c r="I1131" s="58" t="str">
        <f>IF(H1131&gt;0, MAX(I$1:I1130)+1, "")</f>
        <v/>
      </c>
    </row>
    <row r="1132" spans="1:9" x14ac:dyDescent="0.2">
      <c r="A1132" t="s">
        <v>30</v>
      </c>
      <c r="B1132" t="str">
        <f>Mangueras!A70</f>
        <v>Conducción Fluidos</v>
      </c>
      <c r="C1132" t="str">
        <f>Mangueras!B70</f>
        <v>MANGUERAS Y ACCESORIOS</v>
      </c>
      <c r="D1132">
        <f>Mangueras!F70</f>
        <v>90076</v>
      </c>
      <c r="E1132" t="str">
        <f>Mangueras!G70</f>
        <v>MANGUERA AQUAFLEX 3' ROLLO 25MT</v>
      </c>
      <c r="F1132">
        <f>Mangueras!H70</f>
        <v>1</v>
      </c>
      <c r="G1132" t="str">
        <f>Mangueras!I70</f>
        <v>Unitario</v>
      </c>
      <c r="H1132">
        <f>IFERROR(IF(Mangueras!K70="",0,Mangueras!K70),0)</f>
        <v>0</v>
      </c>
      <c r="I1132" s="58" t="str">
        <f>IF(H1132&gt;0, MAX(I$1:I1131)+1, "")</f>
        <v/>
      </c>
    </row>
    <row r="1133" spans="1:9" x14ac:dyDescent="0.2">
      <c r="A1133" t="s">
        <v>30</v>
      </c>
      <c r="B1133" t="str">
        <f>Mangueras!A71</f>
        <v>Conducción Fluidos</v>
      </c>
      <c r="C1133" t="str">
        <f>Mangueras!B71</f>
        <v>MANGUERAS Y ACCESORIOS</v>
      </c>
      <c r="D1133">
        <f>Mangueras!F71</f>
        <v>90077</v>
      </c>
      <c r="E1133" t="str">
        <f>Mangueras!G71</f>
        <v>MANGUERA AQUAFLEX 4' ROLLO 25MT</v>
      </c>
      <c r="F1133">
        <f>Mangueras!H71</f>
        <v>1</v>
      </c>
      <c r="G1133" t="str">
        <f>Mangueras!I71</f>
        <v>Unitario</v>
      </c>
      <c r="H1133">
        <f>IFERROR(IF(Mangueras!K71="",0,Mangueras!K71),0)</f>
        <v>0</v>
      </c>
      <c r="I1133" s="58" t="str">
        <f>IF(H1133&gt;0, MAX(I$1:I1132)+1, "")</f>
        <v/>
      </c>
    </row>
    <row r="1134" spans="1:9" x14ac:dyDescent="0.2">
      <c r="A1134" t="s">
        <v>30</v>
      </c>
      <c r="B1134" t="str">
        <f>Mangueras!A72</f>
        <v>Conducción Fluidos</v>
      </c>
      <c r="C1134" t="str">
        <f>Mangueras!B72</f>
        <v>MANGUERAS Y ACCESORIOS</v>
      </c>
      <c r="D1134">
        <f>Mangueras!F72</f>
        <v>90080</v>
      </c>
      <c r="E1134" t="str">
        <f>Mangueras!G72</f>
        <v>MANGUERA CRISTALFLEX ATÓXICA 1 1/2' 50MT</v>
      </c>
      <c r="F1134">
        <f>Mangueras!H72</f>
        <v>1</v>
      </c>
      <c r="G1134" t="str">
        <f>Mangueras!I72</f>
        <v>Unitario</v>
      </c>
      <c r="H1134">
        <f>IFERROR(IF(Mangueras!K72="",0,Mangueras!K72),0)</f>
        <v>0</v>
      </c>
      <c r="I1134" s="58" t="str">
        <f>IF(H1134&gt;0, MAX(I$1:I1133)+1, "")</f>
        <v/>
      </c>
    </row>
    <row r="1135" spans="1:9" x14ac:dyDescent="0.2">
      <c r="A1135" t="s">
        <v>30</v>
      </c>
      <c r="B1135" t="str">
        <f>Mangueras!A73</f>
        <v>Conducción Fluidos</v>
      </c>
      <c r="C1135" t="str">
        <f>Mangueras!B73</f>
        <v>MANGUERAS Y ACCESORIOS</v>
      </c>
      <c r="D1135">
        <f>Mangueras!F73</f>
        <v>90081</v>
      </c>
      <c r="E1135" t="str">
        <f>Mangueras!G73</f>
        <v>MANGUERA CRISTALFLEX ATÓXICA 2' 50MT</v>
      </c>
      <c r="F1135">
        <f>Mangueras!H73</f>
        <v>1</v>
      </c>
      <c r="G1135" t="str">
        <f>Mangueras!I73</f>
        <v>Unitario</v>
      </c>
      <c r="H1135">
        <f>IFERROR(IF(Mangueras!K73="",0,Mangueras!K73),0)</f>
        <v>0</v>
      </c>
      <c r="I1135" s="58" t="str">
        <f>IF(H1135&gt;0, MAX(I$1:I1134)+1, "")</f>
        <v/>
      </c>
    </row>
    <row r="1136" spans="1:9" x14ac:dyDescent="0.2">
      <c r="A1136" t="s">
        <v>30</v>
      </c>
      <c r="B1136" t="str">
        <f>Mangueras!A74</f>
        <v>Conducción Fluidos</v>
      </c>
      <c r="C1136" t="str">
        <f>Mangueras!B74</f>
        <v>MANGUERAS Y ACCESORIOS</v>
      </c>
      <c r="D1136">
        <f>Mangueras!F74</f>
        <v>90082</v>
      </c>
      <c r="E1136" t="str">
        <f>Mangueras!G74</f>
        <v>MANGUERA CRISTALFLEX ATÓXICA 3'  25MT</v>
      </c>
      <c r="F1136">
        <f>Mangueras!H74</f>
        <v>1</v>
      </c>
      <c r="G1136" t="str">
        <f>Mangueras!I74</f>
        <v>Unitario</v>
      </c>
      <c r="H1136">
        <f>IFERROR(IF(Mangueras!K74="",0,Mangueras!K74),0)</f>
        <v>0</v>
      </c>
      <c r="I1136" s="58" t="str">
        <f>IF(H1136&gt;0, MAX(I$1:I1135)+1, "")</f>
        <v/>
      </c>
    </row>
    <row r="1137" spans="1:9" x14ac:dyDescent="0.2">
      <c r="A1137" t="s">
        <v>30</v>
      </c>
      <c r="B1137" t="str">
        <f>Mangueras!A75</f>
        <v>Conducción Fluidos</v>
      </c>
      <c r="C1137" t="str">
        <f>Mangueras!B75</f>
        <v>MANGUERAS Y ACCESORIOS</v>
      </c>
      <c r="D1137">
        <f>Mangueras!F75</f>
        <v>90083</v>
      </c>
      <c r="E1137" t="str">
        <f>Mangueras!G75</f>
        <v>MANGUERA CRISTALFLEX ATÓXICA 4'  25MT</v>
      </c>
      <c r="F1137">
        <f>Mangueras!H75</f>
        <v>1</v>
      </c>
      <c r="G1137" t="str">
        <f>Mangueras!I75</f>
        <v>Unitario</v>
      </c>
      <c r="H1137">
        <f>IFERROR(IF(Mangueras!K75="",0,Mangueras!K75),0)</f>
        <v>0</v>
      </c>
      <c r="I1137" s="58" t="str">
        <f>IF(H1137&gt;0, MAX(I$1:I1136)+1, "")</f>
        <v/>
      </c>
    </row>
    <row r="1138" spans="1:9" x14ac:dyDescent="0.2">
      <c r="A1138" t="s">
        <v>30</v>
      </c>
      <c r="B1138" t="str">
        <f>Mangueras!A76</f>
        <v>Conducción Fluidos</v>
      </c>
      <c r="C1138" t="str">
        <f>Mangueras!B76</f>
        <v>MANGUERAS Y ACCESORIOS</v>
      </c>
      <c r="D1138">
        <f>Mangueras!F76</f>
        <v>90084</v>
      </c>
      <c r="E1138" t="str">
        <f>Mangueras!G76</f>
        <v>MANGUERA AGROFLEX 1'  50MT</v>
      </c>
      <c r="F1138">
        <f>Mangueras!H76</f>
        <v>1</v>
      </c>
      <c r="G1138" t="str">
        <f>Mangueras!I76</f>
        <v>Unitario</v>
      </c>
      <c r="H1138">
        <f>IFERROR(IF(Mangueras!K76="",0,Mangueras!K76),0)</f>
        <v>0</v>
      </c>
      <c r="I1138" s="58" t="str">
        <f>IF(H1138&gt;0, MAX(I$1:I1137)+1, "")</f>
        <v/>
      </c>
    </row>
    <row r="1139" spans="1:9" x14ac:dyDescent="0.2">
      <c r="A1139" t="s">
        <v>30</v>
      </c>
      <c r="B1139" t="str">
        <f>Mangueras!A77</f>
        <v>Conducción Fluidos</v>
      </c>
      <c r="C1139" t="str">
        <f>Mangueras!B77</f>
        <v>MANGUERAS Y ACCESORIOS</v>
      </c>
      <c r="D1139">
        <f>Mangueras!F77</f>
        <v>90085</v>
      </c>
      <c r="E1139" t="str">
        <f>Mangueras!G77</f>
        <v>MANGUERA AGROFLEX 1 1/2'  50MT</v>
      </c>
      <c r="F1139">
        <f>Mangueras!H77</f>
        <v>1</v>
      </c>
      <c r="G1139" t="str">
        <f>Mangueras!I77</f>
        <v>Unitario</v>
      </c>
      <c r="H1139">
        <f>IFERROR(IF(Mangueras!K77="",0,Mangueras!K77),0)</f>
        <v>0</v>
      </c>
      <c r="I1139" s="58" t="str">
        <f>IF(H1139&gt;0, MAX(I$1:I1138)+1, "")</f>
        <v/>
      </c>
    </row>
    <row r="1140" spans="1:9" x14ac:dyDescent="0.2">
      <c r="A1140" t="s">
        <v>30</v>
      </c>
      <c r="B1140" t="str">
        <f>Mangueras!A78</f>
        <v>Conducción Fluidos</v>
      </c>
      <c r="C1140" t="str">
        <f>Mangueras!B78</f>
        <v>MANGUERAS Y ACCESORIOS</v>
      </c>
      <c r="D1140">
        <f>Mangueras!F78</f>
        <v>90086</v>
      </c>
      <c r="E1140" t="str">
        <f>Mangueras!G78</f>
        <v>MANGUERA AGROFLEX 2'  50MT</v>
      </c>
      <c r="F1140">
        <f>Mangueras!H78</f>
        <v>1</v>
      </c>
      <c r="G1140" t="str">
        <f>Mangueras!I78</f>
        <v>Unitario</v>
      </c>
      <c r="H1140">
        <f>IFERROR(IF(Mangueras!K78="",0,Mangueras!K78),0)</f>
        <v>0</v>
      </c>
      <c r="I1140" s="58" t="str">
        <f>IF(H1140&gt;0, MAX(I$1:I1139)+1, "")</f>
        <v/>
      </c>
    </row>
    <row r="1141" spans="1:9" x14ac:dyDescent="0.2">
      <c r="A1141" t="s">
        <v>30</v>
      </c>
      <c r="B1141" t="str">
        <f>Mangueras!A79</f>
        <v>Conducción Fluidos</v>
      </c>
      <c r="C1141" t="str">
        <f>Mangueras!B79</f>
        <v>MANGUERAS Y ACCESORIOS</v>
      </c>
      <c r="D1141">
        <f>Mangueras!F79</f>
        <v>90087</v>
      </c>
      <c r="E1141" t="str">
        <f>Mangueras!G79</f>
        <v>MANGUERA AGROFLEX 3'  25MT</v>
      </c>
      <c r="F1141">
        <f>Mangueras!H79</f>
        <v>1</v>
      </c>
      <c r="G1141" t="str">
        <f>Mangueras!I79</f>
        <v>Unitario</v>
      </c>
      <c r="H1141">
        <f>IFERROR(IF(Mangueras!K79="",0,Mangueras!K79),0)</f>
        <v>0</v>
      </c>
      <c r="I1141" s="58" t="str">
        <f>IF(H1141&gt;0, MAX(I$1:I1140)+1, "")</f>
        <v/>
      </c>
    </row>
    <row r="1142" spans="1:9" x14ac:dyDescent="0.2">
      <c r="A1142" t="s">
        <v>30</v>
      </c>
      <c r="B1142" t="str">
        <f>Mangueras!A80</f>
        <v>Conducción Fluidos</v>
      </c>
      <c r="C1142" t="str">
        <f>Mangueras!B80</f>
        <v>MANGUERAS Y ACCESORIOS</v>
      </c>
      <c r="D1142">
        <f>Mangueras!F80</f>
        <v>90088</v>
      </c>
      <c r="E1142" t="str">
        <f>Mangueras!G80</f>
        <v>MANGUERA AGROFLEX 4'  25MT</v>
      </c>
      <c r="F1142">
        <f>Mangueras!H80</f>
        <v>1</v>
      </c>
      <c r="G1142" t="str">
        <f>Mangueras!I80</f>
        <v>Unitario</v>
      </c>
      <c r="H1142">
        <f>IFERROR(IF(Mangueras!K80="",0,Mangueras!K80),0)</f>
        <v>0</v>
      </c>
      <c r="I1142" s="58" t="str">
        <f>IF(H1142&gt;0, MAX(I$1:I1141)+1, "")</f>
        <v/>
      </c>
    </row>
    <row r="1143" spans="1:9" x14ac:dyDescent="0.2">
      <c r="A1143" t="s">
        <v>30</v>
      </c>
      <c r="B1143" t="str">
        <f>Mangueras!A81</f>
        <v>Conducción Fluidos</v>
      </c>
      <c r="C1143" t="str">
        <f>Mangueras!B81</f>
        <v>MANGUERAS Y ACCESORIOS</v>
      </c>
      <c r="D1143">
        <f>Mangueras!F81</f>
        <v>90089</v>
      </c>
      <c r="E1143" t="str">
        <f>Mangueras!G81</f>
        <v>MANGUERA AGROFLEX 6'  25MT</v>
      </c>
      <c r="F1143">
        <f>Mangueras!H81</f>
        <v>1</v>
      </c>
      <c r="G1143" t="str">
        <f>Mangueras!I81</f>
        <v>Unitario</v>
      </c>
      <c r="H1143">
        <f>IFERROR(IF(Mangueras!K81="",0,Mangueras!K81),0)</f>
        <v>0</v>
      </c>
      <c r="I1143" s="58" t="str">
        <f>IF(H1143&gt;0, MAX(I$1:I1142)+1, "")</f>
        <v/>
      </c>
    </row>
    <row r="1144" spans="1:9" x14ac:dyDescent="0.2">
      <c r="A1144" t="s">
        <v>30</v>
      </c>
      <c r="B1144" t="str">
        <f>Mangueras!A82</f>
        <v>Conducción Fluidos</v>
      </c>
      <c r="C1144" t="str">
        <f>Mangueras!B82</f>
        <v>MANGUERAS Y ACCESORIOS</v>
      </c>
      <c r="D1144">
        <f>Mangueras!F82</f>
        <v>90090</v>
      </c>
      <c r="E1144" t="str">
        <f>Mangueras!G82</f>
        <v>MANGUERA ENOFLEX 1 1/2'  50MT</v>
      </c>
      <c r="F1144">
        <f>Mangueras!H82</f>
        <v>1</v>
      </c>
      <c r="G1144" t="str">
        <f>Mangueras!I82</f>
        <v>Unitario</v>
      </c>
      <c r="H1144">
        <f>IFERROR(IF(Mangueras!K82="",0,Mangueras!K82),0)</f>
        <v>0</v>
      </c>
      <c r="I1144" s="58" t="str">
        <f>IF(H1144&gt;0, MAX(I$1:I1143)+1, "")</f>
        <v/>
      </c>
    </row>
    <row r="1145" spans="1:9" x14ac:dyDescent="0.2">
      <c r="A1145" t="s">
        <v>30</v>
      </c>
      <c r="B1145" t="str">
        <f>Mangueras!A83</f>
        <v>Conducción Fluidos</v>
      </c>
      <c r="C1145" t="str">
        <f>Mangueras!B83</f>
        <v>MANGUERAS Y ACCESORIOS</v>
      </c>
      <c r="D1145">
        <f>Mangueras!F83</f>
        <v>90091</v>
      </c>
      <c r="E1145" t="str">
        <f>Mangueras!G83</f>
        <v>MANGUERA ENOFLEX 2'  50MT</v>
      </c>
      <c r="F1145">
        <f>Mangueras!H83</f>
        <v>1</v>
      </c>
      <c r="G1145" t="str">
        <f>Mangueras!I83</f>
        <v>Unitario</v>
      </c>
      <c r="H1145">
        <f>IFERROR(IF(Mangueras!K83="",0,Mangueras!K83),0)</f>
        <v>0</v>
      </c>
      <c r="I1145" s="58" t="str">
        <f>IF(H1145&gt;0, MAX(I$1:I1144)+1, "")</f>
        <v/>
      </c>
    </row>
    <row r="1146" spans="1:9" x14ac:dyDescent="0.2">
      <c r="A1146" t="s">
        <v>30</v>
      </c>
      <c r="B1146" t="str">
        <f>Mangueras!A84</f>
        <v>Conducción Fluidos</v>
      </c>
      <c r="C1146" t="str">
        <f>Mangueras!B84</f>
        <v>MANGUERAS Y ACCESORIOS</v>
      </c>
      <c r="D1146">
        <f>Mangueras!F84</f>
        <v>90092</v>
      </c>
      <c r="E1146" t="str">
        <f>Mangueras!G84</f>
        <v>MANGUERA ENOFLEX 2 1/2'  25MT</v>
      </c>
      <c r="F1146">
        <f>Mangueras!H84</f>
        <v>1</v>
      </c>
      <c r="G1146" t="str">
        <f>Mangueras!I84</f>
        <v>Unitario</v>
      </c>
      <c r="H1146">
        <f>IFERROR(IF(Mangueras!K84="",0,Mangueras!K84),0)</f>
        <v>0</v>
      </c>
      <c r="I1146" s="58" t="str">
        <f>IF(H1146&gt;0, MAX(I$1:I1145)+1, "")</f>
        <v/>
      </c>
    </row>
    <row r="1147" spans="1:9" x14ac:dyDescent="0.2">
      <c r="A1147" t="s">
        <v>30</v>
      </c>
      <c r="B1147" t="str">
        <f>Mangueras!A85</f>
        <v>Conducción Fluidos</v>
      </c>
      <c r="C1147" t="str">
        <f>Mangueras!B85</f>
        <v>MANGUERAS Y ACCESORIOS</v>
      </c>
      <c r="D1147">
        <f>Mangueras!F85</f>
        <v>90093</v>
      </c>
      <c r="E1147" t="str">
        <f>Mangueras!G85</f>
        <v>MANGUERA ENOFLEX 3'  25MT</v>
      </c>
      <c r="F1147">
        <f>Mangueras!H85</f>
        <v>1</v>
      </c>
      <c r="G1147" t="str">
        <f>Mangueras!I85</f>
        <v>Unitario</v>
      </c>
      <c r="H1147">
        <f>IFERROR(IF(Mangueras!K85="",0,Mangueras!K85),0)</f>
        <v>0</v>
      </c>
      <c r="I1147" s="58" t="str">
        <f>IF(H1147&gt;0, MAX(I$1:I1146)+1, "")</f>
        <v/>
      </c>
    </row>
    <row r="1148" spans="1:9" x14ac:dyDescent="0.2">
      <c r="A1148" t="s">
        <v>30</v>
      </c>
      <c r="B1148" t="str">
        <f>Mangueras!A86</f>
        <v>Conducción Fluidos</v>
      </c>
      <c r="C1148" t="str">
        <f>Mangueras!B86</f>
        <v>MANGUERAS Y ACCESORIOS</v>
      </c>
      <c r="D1148">
        <f>Mangueras!F86</f>
        <v>90094</v>
      </c>
      <c r="E1148" t="str">
        <f>Mangueras!G86</f>
        <v>MANGUERA ENOFLEX 4'  25MT</v>
      </c>
      <c r="F1148">
        <f>Mangueras!H86</f>
        <v>1</v>
      </c>
      <c r="G1148" t="str">
        <f>Mangueras!I86</f>
        <v>Unitario</v>
      </c>
      <c r="H1148">
        <f>IFERROR(IF(Mangueras!K86="",0,Mangueras!K86),0)</f>
        <v>0</v>
      </c>
      <c r="I1148" s="58" t="str">
        <f>IF(H1148&gt;0, MAX(I$1:I1147)+1, "")</f>
        <v/>
      </c>
    </row>
    <row r="1149" spans="1:9" x14ac:dyDescent="0.2">
      <c r="A1149" t="s">
        <v>30</v>
      </c>
      <c r="B1149" t="str">
        <f>Mangueras!A87</f>
        <v>Conducción Fluidos</v>
      </c>
      <c r="C1149" t="str">
        <f>Mangueras!B87</f>
        <v>MANGUERAS Y ACCESORIOS</v>
      </c>
      <c r="D1149">
        <f>Mangueras!F87</f>
        <v>90095</v>
      </c>
      <c r="E1149" t="str">
        <f>Mangueras!G87</f>
        <v>MANGUERA ENOFLEX 5'  25MT</v>
      </c>
      <c r="F1149">
        <f>Mangueras!H87</f>
        <v>1</v>
      </c>
      <c r="G1149" t="str">
        <f>Mangueras!I87</f>
        <v>Unitario</v>
      </c>
      <c r="H1149">
        <f>IFERROR(IF(Mangueras!K87="",0,Mangueras!K87),0)</f>
        <v>0</v>
      </c>
      <c r="I1149" s="58" t="str">
        <f>IF(H1149&gt;0, MAX(I$1:I1148)+1, "")</f>
        <v/>
      </c>
    </row>
    <row r="1150" spans="1:9" x14ac:dyDescent="0.2">
      <c r="A1150" t="s">
        <v>30</v>
      </c>
      <c r="B1150" t="str">
        <f>Mangueras!A88</f>
        <v>Conducción Fluidos</v>
      </c>
      <c r="C1150" t="str">
        <f>Mangueras!B88</f>
        <v>MANGUERAS Y ACCESORIOS</v>
      </c>
      <c r="D1150">
        <f>Mangueras!F88</f>
        <v>90096</v>
      </c>
      <c r="E1150" t="str">
        <f>Mangueras!G88</f>
        <v>MANGUERA LACTOFLEX ATÓXICA 1 1/2'  50MT</v>
      </c>
      <c r="F1150">
        <f>Mangueras!H88</f>
        <v>1</v>
      </c>
      <c r="G1150" t="str">
        <f>Mangueras!I88</f>
        <v>Unitario</v>
      </c>
      <c r="H1150">
        <f>IFERROR(IF(Mangueras!K88="",0,Mangueras!K88),0)</f>
        <v>0</v>
      </c>
      <c r="I1150" s="58" t="str">
        <f>IF(H1150&gt;0, MAX(I$1:I1149)+1, "")</f>
        <v/>
      </c>
    </row>
    <row r="1151" spans="1:9" x14ac:dyDescent="0.2">
      <c r="A1151" t="s">
        <v>30</v>
      </c>
      <c r="B1151" t="str">
        <f>Mangueras!A89</f>
        <v>Conducción Fluidos</v>
      </c>
      <c r="C1151" t="str">
        <f>Mangueras!B89</f>
        <v>MANGUERAS Y ACCESORIOS</v>
      </c>
      <c r="D1151">
        <f>Mangueras!F89</f>
        <v>90097</v>
      </c>
      <c r="E1151" t="str">
        <f>Mangueras!G89</f>
        <v>MANGUERA LACTOFLEX ATÓXICA 2'  50MT</v>
      </c>
      <c r="F1151">
        <f>Mangueras!H89</f>
        <v>1</v>
      </c>
      <c r="G1151" t="str">
        <f>Mangueras!I89</f>
        <v>Unitario</v>
      </c>
      <c r="H1151">
        <f>IFERROR(IF(Mangueras!K89="",0,Mangueras!K89),0)</f>
        <v>0</v>
      </c>
      <c r="I1151" s="58" t="str">
        <f>IF(H1151&gt;0, MAX(I$1:I1150)+1, "")</f>
        <v/>
      </c>
    </row>
    <row r="1152" spans="1:9" x14ac:dyDescent="0.2">
      <c r="A1152" t="s">
        <v>30</v>
      </c>
      <c r="B1152" t="str">
        <f>Mangueras!A90</f>
        <v>Conducción Fluidos</v>
      </c>
      <c r="C1152" t="str">
        <f>Mangueras!B90</f>
        <v>MANGUERAS Y ACCESORIOS</v>
      </c>
      <c r="D1152">
        <f>Mangueras!F90</f>
        <v>90098</v>
      </c>
      <c r="E1152" t="str">
        <f>Mangueras!G90</f>
        <v>MANGUERA LACTOFLEX ATÓXICA 3'  25MT</v>
      </c>
      <c r="F1152">
        <f>Mangueras!H90</f>
        <v>1</v>
      </c>
      <c r="G1152" t="str">
        <f>Mangueras!I90</f>
        <v>Unitario</v>
      </c>
      <c r="H1152">
        <f>IFERROR(IF(Mangueras!K90="",0,Mangueras!K90),0)</f>
        <v>0</v>
      </c>
      <c r="I1152" s="58" t="str">
        <f>IF(H1152&gt;0, MAX(I$1:I1151)+1, "")</f>
        <v/>
      </c>
    </row>
    <row r="1153" spans="1:9" x14ac:dyDescent="0.2">
      <c r="A1153" t="s">
        <v>30</v>
      </c>
      <c r="B1153" t="str">
        <f>Mangueras!A91</f>
        <v>Conducción Fluidos</v>
      </c>
      <c r="C1153" t="str">
        <f>Mangueras!B91</f>
        <v>MANGUERAS Y ACCESORIOS</v>
      </c>
      <c r="D1153">
        <f>Mangueras!F91</f>
        <v>90099</v>
      </c>
      <c r="E1153" t="str">
        <f>Mangueras!G91</f>
        <v>MANGUERA CRISTALFLEX ATÓXICA 1 1/2 50MT</v>
      </c>
      <c r="F1153">
        <f>Mangueras!H91</f>
        <v>1</v>
      </c>
      <c r="G1153" t="str">
        <f>Mangueras!I91</f>
        <v>Unitario</v>
      </c>
      <c r="H1153">
        <f>IFERROR(IF(Mangueras!K91="",0,Mangueras!K91),0)</f>
        <v>0</v>
      </c>
      <c r="I1153" s="58" t="str">
        <f>IF(H1153&gt;0, MAX(I$1:I1152)+1, "")</f>
        <v/>
      </c>
    </row>
    <row r="1154" spans="1:9" x14ac:dyDescent="0.2">
      <c r="A1154" t="s">
        <v>30</v>
      </c>
      <c r="B1154" t="str">
        <f>Mangueras!A92</f>
        <v>Conducción Fluidos</v>
      </c>
      <c r="C1154" t="str">
        <f>Mangueras!B92</f>
        <v>MANGUERAS Y ACCESORIOS</v>
      </c>
      <c r="D1154">
        <f>Mangueras!F92</f>
        <v>90100</v>
      </c>
      <c r="E1154" t="str">
        <f>Mangueras!G92</f>
        <v>MANGUERA CRISTALFLEX ATÓXICA 2'  50MT</v>
      </c>
      <c r="F1154">
        <f>Mangueras!H92</f>
        <v>1</v>
      </c>
      <c r="G1154" t="str">
        <f>Mangueras!I92</f>
        <v>Unitario</v>
      </c>
      <c r="H1154">
        <f>IFERROR(IF(Mangueras!K92="",0,Mangueras!K92),0)</f>
        <v>0</v>
      </c>
      <c r="I1154" s="58" t="str">
        <f>IF(H1154&gt;0, MAX(I$1:I1153)+1, "")</f>
        <v/>
      </c>
    </row>
    <row r="1155" spans="1:9" x14ac:dyDescent="0.2">
      <c r="A1155" t="s">
        <v>30</v>
      </c>
      <c r="B1155" t="str">
        <f>Mangueras!A93</f>
        <v>Conducción Fluidos</v>
      </c>
      <c r="C1155" t="str">
        <f>Mangueras!B93</f>
        <v>MANGUERAS Y ACCESORIOS</v>
      </c>
      <c r="D1155">
        <f>Mangueras!F93</f>
        <v>90101</v>
      </c>
      <c r="E1155" t="str">
        <f>Mangueras!G93</f>
        <v>MANGUERA CRISTALFLEX ATÓXICA 3'  25MT</v>
      </c>
      <c r="F1155">
        <f>Mangueras!H93</f>
        <v>1</v>
      </c>
      <c r="G1155" t="str">
        <f>Mangueras!I93</f>
        <v>Unitario</v>
      </c>
      <c r="H1155">
        <f>IFERROR(IF(Mangueras!K93="",0,Mangueras!K93),0)</f>
        <v>0</v>
      </c>
      <c r="I1155" s="58" t="str">
        <f>IF(H1155&gt;0, MAX(I$1:I1154)+1, "")</f>
        <v/>
      </c>
    </row>
    <row r="1156" spans="1:9" x14ac:dyDescent="0.2">
      <c r="A1156" t="s">
        <v>30</v>
      </c>
      <c r="B1156" t="str">
        <f>Mangueras!A94</f>
        <v>Conducción Fluidos</v>
      </c>
      <c r="C1156" t="str">
        <f>Mangueras!B94</f>
        <v>MANGUERAS Y ACCESORIOS</v>
      </c>
      <c r="D1156">
        <f>Mangueras!F94</f>
        <v>90102</v>
      </c>
      <c r="E1156" t="str">
        <f>Mangueras!G94</f>
        <v>MANGUERA CRISTALFLEX ATÓXICA 4'  25MT</v>
      </c>
      <c r="F1156">
        <f>Mangueras!H94</f>
        <v>1</v>
      </c>
      <c r="G1156" t="str">
        <f>Mangueras!I94</f>
        <v>Unitario</v>
      </c>
      <c r="H1156">
        <f>IFERROR(IF(Mangueras!K94="",0,Mangueras!K94),0)</f>
        <v>0</v>
      </c>
      <c r="I1156" s="58" t="str">
        <f>IF(H1156&gt;0, MAX(I$1:I1155)+1, "")</f>
        <v/>
      </c>
    </row>
    <row r="1157" spans="1:9" x14ac:dyDescent="0.2">
      <c r="A1157" t="s">
        <v>30</v>
      </c>
      <c r="B1157" t="str">
        <f>Mangueras!A95</f>
        <v>Conducción Fluidos</v>
      </c>
      <c r="C1157" t="str">
        <f>Mangueras!B95</f>
        <v>MANGUERAS Y ACCESORIOS</v>
      </c>
      <c r="D1157">
        <f>Mangueras!F95</f>
        <v>90103</v>
      </c>
      <c r="E1157" t="str">
        <f>Mangueras!G95</f>
        <v>MANGUERA AIRFLEX LIVIANA 3/4'  25MT</v>
      </c>
      <c r="F1157">
        <f>Mangueras!H95</f>
        <v>1</v>
      </c>
      <c r="G1157" t="str">
        <f>Mangueras!I95</f>
        <v>Unitario</v>
      </c>
      <c r="H1157">
        <f>IFERROR(IF(Mangueras!K95="",0,Mangueras!K95),0)</f>
        <v>0</v>
      </c>
      <c r="I1157" s="58" t="str">
        <f>IF(H1157&gt;0, MAX(I$1:I1156)+1, "")</f>
        <v/>
      </c>
    </row>
    <row r="1158" spans="1:9" x14ac:dyDescent="0.2">
      <c r="A1158" t="s">
        <v>30</v>
      </c>
      <c r="B1158" t="str">
        <f>Mangueras!A96</f>
        <v>Conducción Fluidos</v>
      </c>
      <c r="C1158" t="str">
        <f>Mangueras!B96</f>
        <v>MANGUERAS Y ACCESORIOS</v>
      </c>
      <c r="D1158">
        <f>Mangueras!F96</f>
        <v>90104</v>
      </c>
      <c r="E1158" t="str">
        <f>Mangueras!G96</f>
        <v>MANGUERA AIRFLEX LIVIANA 1'  50MT</v>
      </c>
      <c r="F1158">
        <f>Mangueras!H96</f>
        <v>1</v>
      </c>
      <c r="G1158" t="str">
        <f>Mangueras!I96</f>
        <v>Unitario</v>
      </c>
      <c r="H1158">
        <f>IFERROR(IF(Mangueras!K96="",0,Mangueras!K96),0)</f>
        <v>0</v>
      </c>
      <c r="I1158" s="58" t="str">
        <f>IF(H1158&gt;0, MAX(I$1:I1157)+1, "")</f>
        <v/>
      </c>
    </row>
    <row r="1159" spans="1:9" x14ac:dyDescent="0.2">
      <c r="A1159" t="s">
        <v>30</v>
      </c>
      <c r="B1159" t="str">
        <f>Mangueras!A97</f>
        <v>Conducción Fluidos</v>
      </c>
      <c r="C1159" t="str">
        <f>Mangueras!B97</f>
        <v>MANGUERAS Y ACCESORIOS</v>
      </c>
      <c r="D1159">
        <f>Mangueras!F97</f>
        <v>90105</v>
      </c>
      <c r="E1159" t="str">
        <f>Mangueras!G97</f>
        <v>MANGUERA AIRFLEX LIVIANA 1 1/4'  50MT</v>
      </c>
      <c r="F1159">
        <f>Mangueras!H97</f>
        <v>1</v>
      </c>
      <c r="G1159" t="str">
        <f>Mangueras!I97</f>
        <v>Unitario</v>
      </c>
      <c r="H1159">
        <f>IFERROR(IF(Mangueras!K97="",0,Mangueras!K97),0)</f>
        <v>0</v>
      </c>
      <c r="I1159" s="58" t="str">
        <f>IF(H1159&gt;0, MAX(I$1:I1158)+1, "")</f>
        <v/>
      </c>
    </row>
    <row r="1160" spans="1:9" x14ac:dyDescent="0.2">
      <c r="A1160" t="s">
        <v>30</v>
      </c>
      <c r="B1160" t="str">
        <f>Mangueras!A98</f>
        <v>Conducción Fluidos</v>
      </c>
      <c r="C1160" t="str">
        <f>Mangueras!B98</f>
        <v>MANGUERAS Y ACCESORIOS</v>
      </c>
      <c r="D1160">
        <f>Mangueras!F98</f>
        <v>90106</v>
      </c>
      <c r="E1160" t="str">
        <f>Mangueras!G98</f>
        <v>MANGUERA AIRFLEX LIVIANA 1 1/2'  50MT</v>
      </c>
      <c r="F1160">
        <f>Mangueras!H98</f>
        <v>1</v>
      </c>
      <c r="G1160" t="str">
        <f>Mangueras!I98</f>
        <v>Unitario</v>
      </c>
      <c r="H1160">
        <f>IFERROR(IF(Mangueras!K98="",0,Mangueras!K98),0)</f>
        <v>0</v>
      </c>
      <c r="I1160" s="58" t="str">
        <f>IF(H1160&gt;0, MAX(I$1:I1159)+1, "")</f>
        <v/>
      </c>
    </row>
    <row r="1161" spans="1:9" x14ac:dyDescent="0.2">
      <c r="A1161" t="s">
        <v>30</v>
      </c>
      <c r="B1161" t="str">
        <f>Mangueras!A99</f>
        <v>Conducción Fluidos</v>
      </c>
      <c r="C1161" t="str">
        <f>Mangueras!B99</f>
        <v>MANGUERAS Y ACCESORIOS</v>
      </c>
      <c r="D1161">
        <f>Mangueras!F99</f>
        <v>90107</v>
      </c>
      <c r="E1161" t="str">
        <f>Mangueras!G99</f>
        <v>MANGUERA AIRFLEX LIVIANA 2'  50MT</v>
      </c>
      <c r="F1161">
        <f>Mangueras!H99</f>
        <v>1</v>
      </c>
      <c r="G1161" t="str">
        <f>Mangueras!I99</f>
        <v>Unitario</v>
      </c>
      <c r="H1161">
        <f>IFERROR(IF(Mangueras!K99="",0,Mangueras!K99),0)</f>
        <v>0</v>
      </c>
      <c r="I1161" s="58" t="str">
        <f>IF(H1161&gt;0, MAX(I$1:I1160)+1, "")</f>
        <v/>
      </c>
    </row>
    <row r="1162" spans="1:9" x14ac:dyDescent="0.2">
      <c r="A1162" t="s">
        <v>30</v>
      </c>
      <c r="B1162" t="str">
        <f>Mangueras!A100</f>
        <v>Conducción Fluidos</v>
      </c>
      <c r="C1162" t="str">
        <f>Mangueras!B100</f>
        <v>MANGUERAS Y ACCESORIOS</v>
      </c>
      <c r="D1162">
        <f>Mangueras!F100</f>
        <v>90108</v>
      </c>
      <c r="E1162" t="str">
        <f>Mangueras!G100</f>
        <v>MANGUERA AIRFLEX LIVIANA 2 1/2'  25MT</v>
      </c>
      <c r="F1162">
        <f>Mangueras!H100</f>
        <v>1</v>
      </c>
      <c r="G1162" t="str">
        <f>Mangueras!I100</f>
        <v>Unitario</v>
      </c>
      <c r="H1162">
        <f>IFERROR(IF(Mangueras!K100="",0,Mangueras!K100),0)</f>
        <v>0</v>
      </c>
      <c r="I1162" s="58" t="str">
        <f>IF(H1162&gt;0, MAX(I$1:I1161)+1, "")</f>
        <v/>
      </c>
    </row>
    <row r="1163" spans="1:9" x14ac:dyDescent="0.2">
      <c r="A1163" t="s">
        <v>30</v>
      </c>
      <c r="B1163" t="str">
        <f>Mangueras!A101</f>
        <v>Conducción Fluidos</v>
      </c>
      <c r="C1163" t="str">
        <f>Mangueras!B101</f>
        <v>MANGUERAS Y ACCESORIOS</v>
      </c>
      <c r="D1163">
        <f>Mangueras!F101</f>
        <v>90109</v>
      </c>
      <c r="E1163" t="str">
        <f>Mangueras!G101</f>
        <v>MANGUERA AIRFLEX LIVIANA 3'  25MT</v>
      </c>
      <c r="F1163">
        <f>Mangueras!H101</f>
        <v>1</v>
      </c>
      <c r="G1163" t="str">
        <f>Mangueras!I101</f>
        <v>Unitario</v>
      </c>
      <c r="H1163">
        <f>IFERROR(IF(Mangueras!K101="",0,Mangueras!K101),0)</f>
        <v>0</v>
      </c>
      <c r="I1163" s="58" t="str">
        <f>IF(H1163&gt;0, MAX(I$1:I1162)+1, "")</f>
        <v/>
      </c>
    </row>
    <row r="1164" spans="1:9" x14ac:dyDescent="0.2">
      <c r="A1164" t="s">
        <v>30</v>
      </c>
      <c r="B1164" t="str">
        <f>Mangueras!A102</f>
        <v>Conducción Fluidos</v>
      </c>
      <c r="C1164" t="str">
        <f>Mangueras!B102</f>
        <v>MANGUERAS Y ACCESORIOS</v>
      </c>
      <c r="D1164">
        <f>Mangueras!F102</f>
        <v>90110</v>
      </c>
      <c r="E1164" t="str">
        <f>Mangueras!G102</f>
        <v>MANGUERA AIRFLEX LIVIANA 4'  25MT</v>
      </c>
      <c r="F1164">
        <f>Mangueras!H102</f>
        <v>1</v>
      </c>
      <c r="G1164" t="str">
        <f>Mangueras!I102</f>
        <v>Unitario</v>
      </c>
      <c r="H1164">
        <f>IFERROR(IF(Mangueras!K102="",0,Mangueras!K102),0)</f>
        <v>0</v>
      </c>
      <c r="I1164" s="58" t="str">
        <f>IF(H1164&gt;0, MAX(I$1:I1163)+1, "")</f>
        <v/>
      </c>
    </row>
    <row r="1165" spans="1:9" x14ac:dyDescent="0.2">
      <c r="A1165" t="s">
        <v>30</v>
      </c>
      <c r="B1165" t="str">
        <f>Mangueras!A103</f>
        <v>Conducción Fluidos</v>
      </c>
      <c r="C1165" t="str">
        <f>Mangueras!B103</f>
        <v>MANGUERAS Y ACCESORIOS</v>
      </c>
      <c r="D1165">
        <f>Mangueras!F103</f>
        <v>90111</v>
      </c>
      <c r="E1165" t="str">
        <f>Mangueras!G103</f>
        <v>MANGUERA AIRFLEX LIVIANA 5'  25MT</v>
      </c>
      <c r="F1165">
        <f>Mangueras!H103</f>
        <v>1</v>
      </c>
      <c r="G1165" t="str">
        <f>Mangueras!I103</f>
        <v>Unitario</v>
      </c>
      <c r="H1165">
        <f>IFERROR(IF(Mangueras!K103="",0,Mangueras!K103),0)</f>
        <v>0</v>
      </c>
      <c r="I1165" s="58" t="str">
        <f>IF(H1165&gt;0, MAX(I$1:I1164)+1, "")</f>
        <v/>
      </c>
    </row>
    <row r="1166" spans="1:9" x14ac:dyDescent="0.2">
      <c r="A1166" t="s">
        <v>30</v>
      </c>
      <c r="B1166" t="str">
        <f>Mangueras!A104</f>
        <v>Conducción Fluidos</v>
      </c>
      <c r="C1166" t="str">
        <f>Mangueras!B104</f>
        <v>MANGUERAS Y ACCESORIOS</v>
      </c>
      <c r="D1166">
        <f>Mangueras!F104</f>
        <v>90112</v>
      </c>
      <c r="E1166" t="str">
        <f>Mangueras!G104</f>
        <v>MANGUERA AIRFLEX LIVIANA 6'  25MT</v>
      </c>
      <c r="F1166">
        <f>Mangueras!H104</f>
        <v>1</v>
      </c>
      <c r="G1166" t="str">
        <f>Mangueras!I104</f>
        <v>Unitario</v>
      </c>
      <c r="H1166">
        <f>IFERROR(IF(Mangueras!K104="",0,Mangueras!K104),0)</f>
        <v>0</v>
      </c>
      <c r="I1166" s="58" t="str">
        <f>IF(H1166&gt;0, MAX(I$1:I1165)+1, "")</f>
        <v/>
      </c>
    </row>
    <row r="1167" spans="1:9" x14ac:dyDescent="0.2">
      <c r="A1167" t="s">
        <v>30</v>
      </c>
      <c r="B1167" t="str">
        <f>Mangueras!A105</f>
        <v>Conducción Fluidos</v>
      </c>
      <c r="C1167" t="str">
        <f>Mangueras!B105</f>
        <v>MANGUERAS Y ACCESORIOS</v>
      </c>
      <c r="D1167">
        <f>Mangueras!F105</f>
        <v>90113</v>
      </c>
      <c r="E1167" t="str">
        <f>Mangueras!G105</f>
        <v>MANGUERA AIRFLEX LIVIANA 8' TIRA 10MT</v>
      </c>
      <c r="F1167">
        <f>Mangueras!H105</f>
        <v>1</v>
      </c>
      <c r="G1167" t="str">
        <f>Mangueras!I105</f>
        <v>Unitario</v>
      </c>
      <c r="H1167">
        <f>IFERROR(IF(Mangueras!K105="",0,Mangueras!K105),0)</f>
        <v>0</v>
      </c>
      <c r="I1167" s="58" t="str">
        <f>IF(H1167&gt;0, MAX(I$1:I1166)+1, "")</f>
        <v/>
      </c>
    </row>
    <row r="1168" spans="1:9" x14ac:dyDescent="0.2">
      <c r="A1168" t="s">
        <v>30</v>
      </c>
      <c r="B1168" t="str">
        <f>Mangueras!A106</f>
        <v>Conducción Fluidos</v>
      </c>
      <c r="C1168" t="str">
        <f>Mangueras!B106</f>
        <v>MANGUERAS Y ACCESORIOS</v>
      </c>
      <c r="D1168">
        <f>Mangueras!F106</f>
        <v>90114</v>
      </c>
      <c r="E1168" t="str">
        <f>Mangueras!G106</f>
        <v>MANGUERA AIRFLEX PESADA 2'  50MT</v>
      </c>
      <c r="F1168">
        <f>Mangueras!H106</f>
        <v>1</v>
      </c>
      <c r="G1168" t="str">
        <f>Mangueras!I106</f>
        <v>Unitario</v>
      </c>
      <c r="H1168">
        <f>IFERROR(IF(Mangueras!K106="",0,Mangueras!K106),0)</f>
        <v>0</v>
      </c>
      <c r="I1168" s="58" t="str">
        <f>IF(H1168&gt;0, MAX(I$1:I1167)+1, "")</f>
        <v/>
      </c>
    </row>
    <row r="1169" spans="1:9" x14ac:dyDescent="0.2">
      <c r="A1169" t="s">
        <v>30</v>
      </c>
      <c r="B1169" t="str">
        <f>Mangueras!A107</f>
        <v>Conducción Fluidos</v>
      </c>
      <c r="C1169" t="str">
        <f>Mangueras!B107</f>
        <v>MANGUERAS Y ACCESORIOS</v>
      </c>
      <c r="D1169">
        <f>Mangueras!F107</f>
        <v>90115</v>
      </c>
      <c r="E1169" t="str">
        <f>Mangueras!G107</f>
        <v>MANGUERA AIRFLEX PESADA 2 1/2'  25MT</v>
      </c>
      <c r="F1169">
        <f>Mangueras!H107</f>
        <v>1</v>
      </c>
      <c r="G1169" t="str">
        <f>Mangueras!I107</f>
        <v>Unitario</v>
      </c>
      <c r="H1169">
        <f>IFERROR(IF(Mangueras!K107="",0,Mangueras!K107),0)</f>
        <v>0</v>
      </c>
      <c r="I1169" s="58" t="str">
        <f>IF(H1169&gt;0, MAX(I$1:I1168)+1, "")</f>
        <v/>
      </c>
    </row>
    <row r="1170" spans="1:9" x14ac:dyDescent="0.2">
      <c r="A1170" t="s">
        <v>30</v>
      </c>
      <c r="B1170" t="str">
        <f>Mangueras!A108</f>
        <v>Conducción Fluidos</v>
      </c>
      <c r="C1170" t="str">
        <f>Mangueras!B108</f>
        <v>MANGUERAS Y ACCESORIOS</v>
      </c>
      <c r="D1170">
        <f>Mangueras!F108</f>
        <v>90116</v>
      </c>
      <c r="E1170" t="str">
        <f>Mangueras!G108</f>
        <v>MANGUERA AIRFLEX PESADA 3'  25MT</v>
      </c>
      <c r="F1170">
        <f>Mangueras!H108</f>
        <v>1</v>
      </c>
      <c r="G1170" t="str">
        <f>Mangueras!I108</f>
        <v>Unitario</v>
      </c>
      <c r="H1170">
        <f>IFERROR(IF(Mangueras!K108="",0,Mangueras!K108),0)</f>
        <v>0</v>
      </c>
      <c r="I1170" s="58" t="str">
        <f>IF(H1170&gt;0, MAX(I$1:I1169)+1, "")</f>
        <v/>
      </c>
    </row>
    <row r="1171" spans="1:9" x14ac:dyDescent="0.2">
      <c r="A1171" t="s">
        <v>30</v>
      </c>
      <c r="B1171" t="str">
        <f>Mangueras!A109</f>
        <v>Conducción Fluidos</v>
      </c>
      <c r="C1171" t="str">
        <f>Mangueras!B109</f>
        <v>MANGUERAS Y ACCESORIOS</v>
      </c>
      <c r="D1171">
        <f>Mangueras!F109</f>
        <v>90117</v>
      </c>
      <c r="E1171" t="str">
        <f>Mangueras!G109</f>
        <v>MANGUERA AIRFLEX PESADA 4'  25MT</v>
      </c>
      <c r="F1171">
        <f>Mangueras!H109</f>
        <v>1</v>
      </c>
      <c r="G1171" t="str">
        <f>Mangueras!I109</f>
        <v>Unitario</v>
      </c>
      <c r="H1171">
        <f>IFERROR(IF(Mangueras!K109="",0,Mangueras!K109),0)</f>
        <v>0</v>
      </c>
      <c r="I1171" s="58" t="str">
        <f>IF(H1171&gt;0, MAX(I$1:I1170)+1, "")</f>
        <v/>
      </c>
    </row>
    <row r="1172" spans="1:9" x14ac:dyDescent="0.2">
      <c r="A1172" t="s">
        <v>30</v>
      </c>
      <c r="B1172" t="str">
        <f>Mangueras!A110</f>
        <v>Conducción Fluidos</v>
      </c>
      <c r="C1172" t="str">
        <f>Mangueras!B110</f>
        <v>MANGUERAS Y ACCESORIOS</v>
      </c>
      <c r="D1172">
        <f>Mangueras!F110</f>
        <v>90118</v>
      </c>
      <c r="E1172" t="str">
        <f>Mangueras!G110</f>
        <v>MANGUERA AIRFLEX PESADA 5'  25MT</v>
      </c>
      <c r="F1172">
        <f>Mangueras!H110</f>
        <v>1</v>
      </c>
      <c r="G1172" t="str">
        <f>Mangueras!I110</f>
        <v>Unitario</v>
      </c>
      <c r="H1172">
        <f>IFERROR(IF(Mangueras!K110="",0,Mangueras!K110),0)</f>
        <v>0</v>
      </c>
      <c r="I1172" s="58" t="str">
        <f>IF(H1172&gt;0, MAX(I$1:I1171)+1, "")</f>
        <v/>
      </c>
    </row>
    <row r="1173" spans="1:9" x14ac:dyDescent="0.2">
      <c r="A1173" t="s">
        <v>30</v>
      </c>
      <c r="B1173" t="str">
        <f>Mangueras!A111</f>
        <v>Conducción Fluidos</v>
      </c>
      <c r="C1173" t="str">
        <f>Mangueras!B111</f>
        <v>MANGUERAS Y ACCESORIOS</v>
      </c>
      <c r="D1173">
        <f>Mangueras!F111</f>
        <v>90119</v>
      </c>
      <c r="E1173" t="str">
        <f>Mangueras!G111</f>
        <v>MANGUERA AIRFLEX PESADA 6'  25MT</v>
      </c>
      <c r="F1173">
        <f>Mangueras!H111</f>
        <v>1</v>
      </c>
      <c r="G1173" t="str">
        <f>Mangueras!I111</f>
        <v>Unitario</v>
      </c>
      <c r="H1173">
        <f>IFERROR(IF(Mangueras!K111="",0,Mangueras!K111),0)</f>
        <v>0</v>
      </c>
      <c r="I1173" s="58" t="str">
        <f>IF(H1173&gt;0, MAX(I$1:I1172)+1, "")</f>
        <v/>
      </c>
    </row>
    <row r="1174" spans="1:9" x14ac:dyDescent="0.2">
      <c r="A1174" t="s">
        <v>30</v>
      </c>
      <c r="B1174" t="str">
        <f>Mangueras!A112</f>
        <v>Conducción Fluidos</v>
      </c>
      <c r="C1174" t="str">
        <f>Mangueras!B112</f>
        <v>MANGUERAS Y ACCESORIOS</v>
      </c>
      <c r="D1174">
        <f>Mangueras!F112</f>
        <v>90120</v>
      </c>
      <c r="E1174" t="str">
        <f>Mangueras!G112</f>
        <v>MANGUERA AIRFLEX PESADA 8' TIRA 10MT</v>
      </c>
      <c r="F1174">
        <f>Mangueras!H112</f>
        <v>1</v>
      </c>
      <c r="G1174" t="str">
        <f>Mangueras!I112</f>
        <v>Unitario</v>
      </c>
      <c r="H1174">
        <f>IFERROR(IF(Mangueras!K112="",0,Mangueras!K112),0)</f>
        <v>0</v>
      </c>
      <c r="I1174" s="58" t="str">
        <f>IF(H1174&gt;0, MAX(I$1:I1173)+1, "")</f>
        <v/>
      </c>
    </row>
    <row r="1175" spans="1:9" x14ac:dyDescent="0.2">
      <c r="A1175" t="s">
        <v>30</v>
      </c>
      <c r="B1175" t="str">
        <f>Mangueras!A113</f>
        <v>Conducción Fluidos</v>
      </c>
      <c r="C1175" t="str">
        <f>Mangueras!B113</f>
        <v>MANGUERAS Y ACCESORIOS</v>
      </c>
      <c r="D1175">
        <f>Mangueras!F113</f>
        <v>90126</v>
      </c>
      <c r="E1175" t="str">
        <f>Mangueras!G113</f>
        <v>MANGUERA MALLAFLEX PRE STD 1/4'  100MT</v>
      </c>
      <c r="F1175">
        <f>Mangueras!H113</f>
        <v>1</v>
      </c>
      <c r="G1175" t="str">
        <f>Mangueras!I113</f>
        <v>Unitario</v>
      </c>
      <c r="H1175">
        <f>IFERROR(IF(Mangueras!K113="",0,Mangueras!K113),0)</f>
        <v>0</v>
      </c>
      <c r="I1175" s="58" t="str">
        <f>IF(H1175&gt;0, MAX(I$1:I1174)+1, "")</f>
        <v/>
      </c>
    </row>
    <row r="1176" spans="1:9" x14ac:dyDescent="0.2">
      <c r="A1176" t="s">
        <v>30</v>
      </c>
      <c r="B1176" t="str">
        <f>Mangueras!A114</f>
        <v>Conducción Fluidos</v>
      </c>
      <c r="C1176" t="str">
        <f>Mangueras!B114</f>
        <v>MANGUERAS Y ACCESORIOS</v>
      </c>
      <c r="D1176">
        <f>Mangueras!F114</f>
        <v>90127</v>
      </c>
      <c r="E1176" t="str">
        <f>Mangueras!G114</f>
        <v>MANGUERA MALLAFLEX PRE STD 5/16'  100MT</v>
      </c>
      <c r="F1176">
        <f>Mangueras!H114</f>
        <v>1</v>
      </c>
      <c r="G1176" t="str">
        <f>Mangueras!I114</f>
        <v>Unitario</v>
      </c>
      <c r="H1176">
        <f>IFERROR(IF(Mangueras!K114="",0,Mangueras!K114),0)</f>
        <v>0</v>
      </c>
      <c r="I1176" s="58" t="str">
        <f>IF(H1176&gt;0, MAX(I$1:I1175)+1, "")</f>
        <v/>
      </c>
    </row>
    <row r="1177" spans="1:9" x14ac:dyDescent="0.2">
      <c r="A1177" t="s">
        <v>30</v>
      </c>
      <c r="B1177" t="str">
        <f>Mangueras!A115</f>
        <v>Conducción Fluidos</v>
      </c>
      <c r="C1177" t="str">
        <f>Mangueras!B115</f>
        <v>MANGUERAS Y ACCESORIOS</v>
      </c>
      <c r="D1177">
        <f>Mangueras!F115</f>
        <v>90128</v>
      </c>
      <c r="E1177" t="str">
        <f>Mangueras!G115</f>
        <v>MANGUERA MALLAFLEX PRE STD 3/8'  100MT</v>
      </c>
      <c r="F1177">
        <f>Mangueras!H115</f>
        <v>1</v>
      </c>
      <c r="G1177" t="str">
        <f>Mangueras!I115</f>
        <v>Unitario</v>
      </c>
      <c r="H1177">
        <f>IFERROR(IF(Mangueras!K115="",0,Mangueras!K115),0)</f>
        <v>0</v>
      </c>
      <c r="I1177" s="58" t="str">
        <f>IF(H1177&gt;0, MAX(I$1:I1176)+1, "")</f>
        <v/>
      </c>
    </row>
    <row r="1178" spans="1:9" x14ac:dyDescent="0.2">
      <c r="A1178" t="s">
        <v>30</v>
      </c>
      <c r="B1178" t="str">
        <f>Mangueras!A116</f>
        <v>Conducción Fluidos</v>
      </c>
      <c r="C1178" t="str">
        <f>Mangueras!B116</f>
        <v>MANGUERAS Y ACCESORIOS</v>
      </c>
      <c r="D1178">
        <f>Mangueras!F116</f>
        <v>90129</v>
      </c>
      <c r="E1178" t="str">
        <f>Mangueras!G116</f>
        <v>MANGUERA MALLAFLEX PRE STD 1/2'  100MT</v>
      </c>
      <c r="F1178">
        <f>Mangueras!H116</f>
        <v>1</v>
      </c>
      <c r="G1178" t="str">
        <f>Mangueras!I116</f>
        <v>Unitario</v>
      </c>
      <c r="H1178">
        <f>IFERROR(IF(Mangueras!K116="",0,Mangueras!K116),0)</f>
        <v>0</v>
      </c>
      <c r="I1178" s="58" t="str">
        <f>IF(H1178&gt;0, MAX(I$1:I1177)+1, "")</f>
        <v/>
      </c>
    </row>
    <row r="1179" spans="1:9" x14ac:dyDescent="0.2">
      <c r="A1179" t="s">
        <v>30</v>
      </c>
      <c r="B1179" t="str">
        <f>Mangueras!A117</f>
        <v>Conducción Fluidos</v>
      </c>
      <c r="C1179" t="str">
        <f>Mangueras!B117</f>
        <v>MANGUERAS Y ACCESORIOS</v>
      </c>
      <c r="D1179">
        <f>Mangueras!F117</f>
        <v>90130</v>
      </c>
      <c r="E1179" t="str">
        <f>Mangueras!G117</f>
        <v>MANGUERA MALLAFLEX PRE STD 5/8'  100MT</v>
      </c>
      <c r="F1179">
        <f>Mangueras!H117</f>
        <v>1</v>
      </c>
      <c r="G1179" t="str">
        <f>Mangueras!I117</f>
        <v>Unitario</v>
      </c>
      <c r="H1179">
        <f>IFERROR(IF(Mangueras!K117="",0,Mangueras!K117),0)</f>
        <v>0</v>
      </c>
      <c r="I1179" s="58" t="str">
        <f>IF(H1179&gt;0, MAX(I$1:I1178)+1, "")</f>
        <v/>
      </c>
    </row>
    <row r="1180" spans="1:9" x14ac:dyDescent="0.2">
      <c r="A1180" t="s">
        <v>30</v>
      </c>
      <c r="B1180" t="str">
        <f>Mangueras!A118</f>
        <v>Conducción Fluidos</v>
      </c>
      <c r="C1180" t="str">
        <f>Mangueras!B118</f>
        <v>MANGUERAS Y ACCESORIOS</v>
      </c>
      <c r="D1180">
        <f>Mangueras!F118</f>
        <v>90131</v>
      </c>
      <c r="E1180" t="str">
        <f>Mangueras!G118</f>
        <v>MANGUERA MALLAFLEX PRE STD 3/4'  100MT</v>
      </c>
      <c r="F1180">
        <f>Mangueras!H118</f>
        <v>1</v>
      </c>
      <c r="G1180" t="str">
        <f>Mangueras!I118</f>
        <v>Unitario</v>
      </c>
      <c r="H1180">
        <f>IFERROR(IF(Mangueras!K118="",0,Mangueras!K118),0)</f>
        <v>0</v>
      </c>
      <c r="I1180" s="58" t="str">
        <f>IF(H1180&gt;0, MAX(I$1:I1179)+1, "")</f>
        <v/>
      </c>
    </row>
    <row r="1181" spans="1:9" x14ac:dyDescent="0.2">
      <c r="A1181" t="s">
        <v>30</v>
      </c>
      <c r="B1181" t="str">
        <f>Mangueras!A119</f>
        <v>Conducción Fluidos</v>
      </c>
      <c r="C1181" t="str">
        <f>Mangueras!B119</f>
        <v>MANGUERAS Y ACCESORIOS</v>
      </c>
      <c r="D1181">
        <f>Mangueras!F119</f>
        <v>90132</v>
      </c>
      <c r="E1181" t="str">
        <f>Mangueras!G119</f>
        <v>MANGUERA MALLAFLEX PRE STD 1'  50MT</v>
      </c>
      <c r="F1181">
        <f>Mangueras!H119</f>
        <v>1</v>
      </c>
      <c r="G1181" t="str">
        <f>Mangueras!I119</f>
        <v>Unitario</v>
      </c>
      <c r="H1181">
        <f>IFERROR(IF(Mangueras!K119="",0,Mangueras!K119),0)</f>
        <v>0</v>
      </c>
      <c r="I1181" s="58" t="str">
        <f>IF(H1181&gt;0, MAX(I$1:I1180)+1, "")</f>
        <v/>
      </c>
    </row>
    <row r="1182" spans="1:9" x14ac:dyDescent="0.2">
      <c r="A1182" t="s">
        <v>30</v>
      </c>
      <c r="B1182" t="str">
        <f>Mangueras!A120</f>
        <v>Conducción Fluidos</v>
      </c>
      <c r="C1182" t="str">
        <f>Mangueras!B120</f>
        <v>MANGUERAS Y ACCESORIOS</v>
      </c>
      <c r="D1182">
        <f>Mangueras!F120</f>
        <v>90133</v>
      </c>
      <c r="E1182" t="str">
        <f>Mangueras!G120</f>
        <v>MANGUERA MALLAFLEX PRE STD 1 1/4'  50MT</v>
      </c>
      <c r="F1182">
        <f>Mangueras!H120</f>
        <v>1</v>
      </c>
      <c r="G1182" t="str">
        <f>Mangueras!I120</f>
        <v>Unitario</v>
      </c>
      <c r="H1182">
        <f>IFERROR(IF(Mangueras!K120="",0,Mangueras!K120),0)</f>
        <v>0</v>
      </c>
      <c r="I1182" s="58" t="str">
        <f>IF(H1182&gt;0, MAX(I$1:I1181)+1, "")</f>
        <v/>
      </c>
    </row>
    <row r="1183" spans="1:9" x14ac:dyDescent="0.2">
      <c r="A1183" t="s">
        <v>30</v>
      </c>
      <c r="B1183" t="str">
        <f>Mangueras!A121</f>
        <v>Conducción Fluidos</v>
      </c>
      <c r="C1183" t="str">
        <f>Mangueras!B121</f>
        <v>MANGUERAS Y ACCESORIOS</v>
      </c>
      <c r="D1183">
        <f>Mangueras!F121</f>
        <v>90134</v>
      </c>
      <c r="E1183" t="str">
        <f>Mangueras!G121</f>
        <v>MANGUERA MALLAFLEX PRE STD 1 1/2'  50MT</v>
      </c>
      <c r="F1183">
        <f>Mangueras!H121</f>
        <v>1</v>
      </c>
      <c r="G1183" t="str">
        <f>Mangueras!I121</f>
        <v>Unitario</v>
      </c>
      <c r="H1183">
        <f>IFERROR(IF(Mangueras!K121="",0,Mangueras!K121),0)</f>
        <v>0</v>
      </c>
      <c r="I1183" s="58" t="str">
        <f>IF(H1183&gt;0, MAX(I$1:I1182)+1, "")</f>
        <v/>
      </c>
    </row>
    <row r="1184" spans="1:9" x14ac:dyDescent="0.2">
      <c r="A1184" t="s">
        <v>30</v>
      </c>
      <c r="B1184" t="str">
        <f>Mangueras!A122</f>
        <v>Conducción Fluidos</v>
      </c>
      <c r="C1184" t="str">
        <f>Mangueras!B122</f>
        <v>MANGUERAS Y ACCESORIOS</v>
      </c>
      <c r="D1184">
        <f>Mangueras!F122</f>
        <v>90135</v>
      </c>
      <c r="E1184" t="str">
        <f>Mangueras!G122</f>
        <v>MANGUERA MALLAFLEX PRE STD 2'  25MT</v>
      </c>
      <c r="F1184">
        <f>Mangueras!H122</f>
        <v>1</v>
      </c>
      <c r="G1184" t="str">
        <f>Mangueras!I122</f>
        <v>Unitario</v>
      </c>
      <c r="H1184">
        <f>IFERROR(IF(Mangueras!K122="",0,Mangueras!K122),0)</f>
        <v>0</v>
      </c>
      <c r="I1184" s="58" t="str">
        <f>IF(H1184&gt;0, MAX(I$1:I1183)+1, "")</f>
        <v/>
      </c>
    </row>
    <row r="1185" spans="1:9" x14ac:dyDescent="0.2">
      <c r="A1185" t="s">
        <v>30</v>
      </c>
      <c r="B1185" t="str">
        <f>Mangueras!A123</f>
        <v>Conducción Fluidos</v>
      </c>
      <c r="C1185" t="str">
        <f>Mangueras!B123</f>
        <v>MANGUERAS Y ACCESORIOS</v>
      </c>
      <c r="D1185">
        <f>Mangueras!F123</f>
        <v>90136</v>
      </c>
      <c r="E1185" t="str">
        <f>Mangueras!G123</f>
        <v>MANGUERA MALLAFLEX PRE ATOX 1/4'  100MT</v>
      </c>
      <c r="F1185">
        <f>Mangueras!H123</f>
        <v>1</v>
      </c>
      <c r="G1185" t="str">
        <f>Mangueras!I123</f>
        <v>Unitario</v>
      </c>
      <c r="H1185">
        <f>IFERROR(IF(Mangueras!K123="",0,Mangueras!K123),0)</f>
        <v>0</v>
      </c>
      <c r="I1185" s="58" t="str">
        <f>IF(H1185&gt;0, MAX(I$1:I1184)+1, "")</f>
        <v/>
      </c>
    </row>
    <row r="1186" spans="1:9" x14ac:dyDescent="0.2">
      <c r="A1186" t="s">
        <v>30</v>
      </c>
      <c r="B1186" t="str">
        <f>Mangueras!A124</f>
        <v>Conducción Fluidos</v>
      </c>
      <c r="C1186" t="str">
        <f>Mangueras!B124</f>
        <v>MANGUERAS Y ACCESORIOS</v>
      </c>
      <c r="D1186">
        <f>Mangueras!F124</f>
        <v>90137</v>
      </c>
      <c r="E1186" t="str">
        <f>Mangueras!G124</f>
        <v>MANGUERA MALLAFLEX PRE ATOX 5/16'  100MT</v>
      </c>
      <c r="F1186">
        <f>Mangueras!H124</f>
        <v>1</v>
      </c>
      <c r="G1186" t="str">
        <f>Mangueras!I124</f>
        <v>Unitario</v>
      </c>
      <c r="H1186">
        <f>IFERROR(IF(Mangueras!K124="",0,Mangueras!K124),0)</f>
        <v>0</v>
      </c>
      <c r="I1186" s="58" t="str">
        <f>IF(H1186&gt;0, MAX(I$1:I1185)+1, "")</f>
        <v/>
      </c>
    </row>
    <row r="1187" spans="1:9" x14ac:dyDescent="0.2">
      <c r="A1187" t="s">
        <v>30</v>
      </c>
      <c r="B1187" t="str">
        <f>Mangueras!A125</f>
        <v>Conducción Fluidos</v>
      </c>
      <c r="C1187" t="str">
        <f>Mangueras!B125</f>
        <v>MANGUERAS Y ACCESORIOS</v>
      </c>
      <c r="D1187">
        <f>Mangueras!F125</f>
        <v>90138</v>
      </c>
      <c r="E1187" t="str">
        <f>Mangueras!G125</f>
        <v>MANGUERA MALLAFLEX PRE ATOX 3/8'  100MT</v>
      </c>
      <c r="F1187">
        <f>Mangueras!H125</f>
        <v>1</v>
      </c>
      <c r="G1187" t="str">
        <f>Mangueras!I125</f>
        <v>Unitario</v>
      </c>
      <c r="H1187">
        <f>IFERROR(IF(Mangueras!K125="",0,Mangueras!K125),0)</f>
        <v>0</v>
      </c>
      <c r="I1187" s="58" t="str">
        <f>IF(H1187&gt;0, MAX(I$1:I1186)+1, "")</f>
        <v/>
      </c>
    </row>
    <row r="1188" spans="1:9" x14ac:dyDescent="0.2">
      <c r="A1188" t="s">
        <v>30</v>
      </c>
      <c r="B1188" t="str">
        <f>Mangueras!A126</f>
        <v>Conducción Fluidos</v>
      </c>
      <c r="C1188" t="str">
        <f>Mangueras!B126</f>
        <v>MANGUERAS Y ACCESORIOS</v>
      </c>
      <c r="D1188">
        <f>Mangueras!F126</f>
        <v>90139</v>
      </c>
      <c r="E1188" t="str">
        <f>Mangueras!G126</f>
        <v>MANGUERA MALLAFLEX PRE ATOX 1/2'  100MT</v>
      </c>
      <c r="F1188">
        <f>Mangueras!H126</f>
        <v>1</v>
      </c>
      <c r="G1188" t="str">
        <f>Mangueras!I126</f>
        <v>Unitario</v>
      </c>
      <c r="H1188">
        <f>IFERROR(IF(Mangueras!K126="",0,Mangueras!K126),0)</f>
        <v>0</v>
      </c>
      <c r="I1188" s="58" t="str">
        <f>IF(H1188&gt;0, MAX(I$1:I1187)+1, "")</f>
        <v/>
      </c>
    </row>
    <row r="1189" spans="1:9" x14ac:dyDescent="0.2">
      <c r="A1189" t="s">
        <v>30</v>
      </c>
      <c r="B1189" t="str">
        <f>Mangueras!A127</f>
        <v>Conducción Fluidos</v>
      </c>
      <c r="C1189" t="str">
        <f>Mangueras!B127</f>
        <v>MANGUERAS Y ACCESORIOS</v>
      </c>
      <c r="D1189">
        <f>Mangueras!F127</f>
        <v>90140</v>
      </c>
      <c r="E1189" t="str">
        <f>Mangueras!G127</f>
        <v>MANGUERA MALLAFLEX PRE ATOX 5/8'  100MT</v>
      </c>
      <c r="F1189">
        <f>Mangueras!H127</f>
        <v>1</v>
      </c>
      <c r="G1189" t="str">
        <f>Mangueras!I127</f>
        <v>Unitario</v>
      </c>
      <c r="H1189">
        <f>IFERROR(IF(Mangueras!K127="",0,Mangueras!K127),0)</f>
        <v>0</v>
      </c>
      <c r="I1189" s="58" t="str">
        <f>IF(H1189&gt;0, MAX(I$1:I1188)+1, "")</f>
        <v/>
      </c>
    </row>
    <row r="1190" spans="1:9" x14ac:dyDescent="0.2">
      <c r="A1190" t="s">
        <v>30</v>
      </c>
      <c r="B1190" t="str">
        <f>Mangueras!A128</f>
        <v>Conducción Fluidos</v>
      </c>
      <c r="C1190" t="str">
        <f>Mangueras!B128</f>
        <v>MANGUERAS Y ACCESORIOS</v>
      </c>
      <c r="D1190">
        <f>Mangueras!F128</f>
        <v>90141</v>
      </c>
      <c r="E1190" t="str">
        <f>Mangueras!G128</f>
        <v>MANGUERA MALLAFLEX PRE ATOX 3/4'  100MT</v>
      </c>
      <c r="F1190">
        <f>Mangueras!H128</f>
        <v>1</v>
      </c>
      <c r="G1190" t="str">
        <f>Mangueras!I128</f>
        <v>Unitario</v>
      </c>
      <c r="H1190">
        <f>IFERROR(IF(Mangueras!K128="",0,Mangueras!K128),0)</f>
        <v>0</v>
      </c>
      <c r="I1190" s="58" t="str">
        <f>IF(H1190&gt;0, MAX(I$1:I1189)+1, "")</f>
        <v/>
      </c>
    </row>
    <row r="1191" spans="1:9" x14ac:dyDescent="0.2">
      <c r="A1191" t="s">
        <v>30</v>
      </c>
      <c r="B1191" t="str">
        <f>Mangueras!A129</f>
        <v>Conducción Fluidos</v>
      </c>
      <c r="C1191" t="str">
        <f>Mangueras!B129</f>
        <v>MANGUERAS Y ACCESORIOS</v>
      </c>
      <c r="D1191">
        <f>Mangueras!F129</f>
        <v>90142</v>
      </c>
      <c r="E1191" t="str">
        <f>Mangueras!G129</f>
        <v>MANGUERA MALLAFLEX PRE ATOX 1'  50MT</v>
      </c>
      <c r="F1191">
        <f>Mangueras!H129</f>
        <v>1</v>
      </c>
      <c r="G1191" t="str">
        <f>Mangueras!I129</f>
        <v>Unitario</v>
      </c>
      <c r="H1191">
        <f>IFERROR(IF(Mangueras!K129="",0,Mangueras!K129),0)</f>
        <v>0</v>
      </c>
      <c r="I1191" s="58" t="str">
        <f>IF(H1191&gt;0, MAX(I$1:I1190)+1, "")</f>
        <v/>
      </c>
    </row>
    <row r="1192" spans="1:9" x14ac:dyDescent="0.2">
      <c r="A1192" t="s">
        <v>30</v>
      </c>
      <c r="B1192" t="str">
        <f>Mangueras!A130</f>
        <v>Conducción Fluidos</v>
      </c>
      <c r="C1192" t="str">
        <f>Mangueras!B130</f>
        <v>MANGUERAS Y ACCESORIOS</v>
      </c>
      <c r="D1192">
        <f>Mangueras!F130</f>
        <v>90143</v>
      </c>
      <c r="E1192" t="str">
        <f>Mangueras!G130</f>
        <v>MANGUERA MALLAFLEX PRE ATOX 1 1/4'  50MT</v>
      </c>
      <c r="F1192">
        <f>Mangueras!H130</f>
        <v>1</v>
      </c>
      <c r="G1192" t="str">
        <f>Mangueras!I130</f>
        <v>Unitario</v>
      </c>
      <c r="H1192">
        <f>IFERROR(IF(Mangueras!K130="",0,Mangueras!K130),0)</f>
        <v>0</v>
      </c>
      <c r="I1192" s="58" t="str">
        <f>IF(H1192&gt;0, MAX(I$1:I1191)+1, "")</f>
        <v/>
      </c>
    </row>
    <row r="1193" spans="1:9" x14ac:dyDescent="0.2">
      <c r="A1193" t="s">
        <v>30</v>
      </c>
      <c r="B1193" t="str">
        <f>Mangueras!A131</f>
        <v>Conducción Fluidos</v>
      </c>
      <c r="C1193" t="str">
        <f>Mangueras!B131</f>
        <v>MANGUERAS Y ACCESORIOS</v>
      </c>
      <c r="D1193">
        <f>Mangueras!F131</f>
        <v>90144</v>
      </c>
      <c r="E1193" t="str">
        <f>Mangueras!G131</f>
        <v>MANGUERA MALLAFLEX PRE ATOX 1 1/2'  50MT</v>
      </c>
      <c r="F1193">
        <f>Mangueras!H131</f>
        <v>1</v>
      </c>
      <c r="G1193" t="str">
        <f>Mangueras!I131</f>
        <v>Unitario</v>
      </c>
      <c r="H1193">
        <f>IFERROR(IF(Mangueras!K131="",0,Mangueras!K131),0)</f>
        <v>0</v>
      </c>
      <c r="I1193" s="58" t="str">
        <f>IF(H1193&gt;0, MAX(I$1:I1192)+1, "")</f>
        <v/>
      </c>
    </row>
    <row r="1194" spans="1:9" x14ac:dyDescent="0.2">
      <c r="A1194" t="s">
        <v>30</v>
      </c>
      <c r="B1194" t="str">
        <f>Mangueras!A132</f>
        <v>Conducción Fluidos</v>
      </c>
      <c r="C1194" t="str">
        <f>Mangueras!B132</f>
        <v>MANGUERAS Y ACCESORIOS</v>
      </c>
      <c r="D1194">
        <f>Mangueras!F132</f>
        <v>90145</v>
      </c>
      <c r="E1194" t="str">
        <f>Mangueras!G132</f>
        <v>MANGUERA MALLAFLEX PRE ATOX 2'  25MT</v>
      </c>
      <c r="F1194">
        <f>Mangueras!H132</f>
        <v>1</v>
      </c>
      <c r="G1194" t="str">
        <f>Mangueras!I132</f>
        <v>Unitario</v>
      </c>
      <c r="H1194">
        <f>IFERROR(IF(Mangueras!K132="",0,Mangueras!K132),0)</f>
        <v>0</v>
      </c>
      <c r="I1194" s="58" t="str">
        <f>IF(H1194&gt;0, MAX(I$1:I1193)+1, "")</f>
        <v/>
      </c>
    </row>
    <row r="1195" spans="1:9" x14ac:dyDescent="0.2">
      <c r="A1195" t="s">
        <v>30</v>
      </c>
      <c r="B1195" t="str">
        <f>Mangueras!A133</f>
        <v>Conducción Fluidos</v>
      </c>
      <c r="C1195" t="str">
        <f>Mangueras!B133</f>
        <v>MANGUERAS Y ACCESORIOS</v>
      </c>
      <c r="D1195">
        <f>Mangueras!F133</f>
        <v>90146</v>
      </c>
      <c r="E1195" t="str">
        <f>Mangueras!G133</f>
        <v>MANGUERA MALLAFLEX PRE STD AZU 3/4 100MT</v>
      </c>
      <c r="F1195">
        <f>Mangueras!H133</f>
        <v>1</v>
      </c>
      <c r="G1195" t="str">
        <f>Mangueras!I133</f>
        <v>Unitario</v>
      </c>
      <c r="H1195">
        <f>IFERROR(IF(Mangueras!K133="",0,Mangueras!K133),0)</f>
        <v>0</v>
      </c>
      <c r="I1195" s="58" t="str">
        <f>IF(H1195&gt;0, MAX(I$1:I1194)+1, "")</f>
        <v/>
      </c>
    </row>
    <row r="1196" spans="1:9" x14ac:dyDescent="0.2">
      <c r="A1196" t="s">
        <v>30</v>
      </c>
      <c r="B1196" t="str">
        <f>Mangueras!A134</f>
        <v>Conducción Fluidos</v>
      </c>
      <c r="C1196" t="str">
        <f>Mangueras!B134</f>
        <v>MANGUERAS Y ACCESORIOS</v>
      </c>
      <c r="D1196">
        <f>Mangueras!F134</f>
        <v>90147</v>
      </c>
      <c r="E1196" t="str">
        <f>Mangueras!G134</f>
        <v>MANGUERA MALLAFLEX PRE STD AZU 1'  50MT</v>
      </c>
      <c r="F1196">
        <f>Mangueras!H134</f>
        <v>1</v>
      </c>
      <c r="G1196" t="str">
        <f>Mangueras!I134</f>
        <v>Unitario</v>
      </c>
      <c r="H1196">
        <f>IFERROR(IF(Mangueras!K134="",0,Mangueras!K134),0)</f>
        <v>0</v>
      </c>
      <c r="I1196" s="58" t="str">
        <f>IF(H1196&gt;0, MAX(I$1:I1195)+1, "")</f>
        <v/>
      </c>
    </row>
    <row r="1197" spans="1:9" x14ac:dyDescent="0.2">
      <c r="A1197" t="s">
        <v>30</v>
      </c>
      <c r="B1197" t="str">
        <f>Mangueras!A135</f>
        <v>Conducción Fluidos</v>
      </c>
      <c r="C1197" t="str">
        <f>Mangueras!B135</f>
        <v>MANGUERAS Y ACCESORIOS</v>
      </c>
      <c r="D1197">
        <f>Mangueras!F135</f>
        <v>90148</v>
      </c>
      <c r="E1197" t="str">
        <f>Mangueras!G135</f>
        <v>MANGUERA NIVEL LISA 1/2' ROLLO 100MT</v>
      </c>
      <c r="F1197">
        <f>Mangueras!H135</f>
        <v>1</v>
      </c>
      <c r="G1197" t="str">
        <f>Mangueras!I135</f>
        <v>Unitario</v>
      </c>
      <c r="H1197">
        <f>IFERROR(IF(Mangueras!K135="",0,Mangueras!K135),0)</f>
        <v>0</v>
      </c>
      <c r="I1197" s="58" t="str">
        <f>IF(H1197&gt;0, MAX(I$1:I1196)+1, "")</f>
        <v/>
      </c>
    </row>
    <row r="1198" spans="1:9" x14ac:dyDescent="0.2">
      <c r="A1198" t="s">
        <v>30</v>
      </c>
      <c r="B1198" t="str">
        <f>Mangueras!A136</f>
        <v>Conducción Fluidos</v>
      </c>
      <c r="C1198" t="str">
        <f>Mangueras!B136</f>
        <v>MANGUERAS Y ACCESORIOS</v>
      </c>
      <c r="D1198">
        <f>Mangueras!F136</f>
        <v>90149</v>
      </c>
      <c r="E1198" t="str">
        <f>Mangueras!G136</f>
        <v>MANGUERA NIVEL ESTRIADA 1/2' 100MT</v>
      </c>
      <c r="F1198">
        <f>Mangueras!H136</f>
        <v>1</v>
      </c>
      <c r="G1198" t="str">
        <f>Mangueras!I136</f>
        <v>Unitario</v>
      </c>
      <c r="H1198">
        <f>IFERROR(IF(Mangueras!K136="",0,Mangueras!K136),0)</f>
        <v>0</v>
      </c>
      <c r="I1198" s="58" t="str">
        <f>IF(H1198&gt;0, MAX(I$1:I1197)+1, "")</f>
        <v/>
      </c>
    </row>
    <row r="1199" spans="1:9" x14ac:dyDescent="0.2">
      <c r="A1199" t="s">
        <v>30</v>
      </c>
      <c r="B1199" t="str">
        <f>Mangueras!A137</f>
        <v>Conducción Fluidos</v>
      </c>
      <c r="C1199" t="str">
        <f>Mangueras!B137</f>
        <v>MANGUERAS Y ACCESORIOS</v>
      </c>
      <c r="D1199">
        <f>Mangueras!F137</f>
        <v>90150</v>
      </c>
      <c r="E1199" t="str">
        <f>Mangueras!G137</f>
        <v>MANGUERA NIVEL LISA 1/2' SET 10MT</v>
      </c>
      <c r="F1199">
        <f>Mangueras!H137</f>
        <v>1</v>
      </c>
      <c r="G1199" t="str">
        <f>Mangueras!I137</f>
        <v>Unitario</v>
      </c>
      <c r="H1199">
        <f>IFERROR(IF(Mangueras!K137="",0,Mangueras!K137),0)</f>
        <v>0</v>
      </c>
      <c r="I1199" s="58" t="str">
        <f>IF(H1199&gt;0, MAX(I$1:I1198)+1, "")</f>
        <v/>
      </c>
    </row>
    <row r="1200" spans="1:9" x14ac:dyDescent="0.2">
      <c r="A1200" t="s">
        <v>30</v>
      </c>
      <c r="B1200" t="str">
        <f>Mangueras!A138</f>
        <v>Conducción Fluidos</v>
      </c>
      <c r="C1200" t="str">
        <f>Mangueras!B138</f>
        <v>MANGUERAS Y ACCESORIOS</v>
      </c>
      <c r="D1200">
        <f>Mangueras!F138</f>
        <v>90151</v>
      </c>
      <c r="E1200" t="str">
        <f>Mangueras!G138</f>
        <v>MANGUERA NIVEL LISA 1/2' SET 15MT</v>
      </c>
      <c r="F1200">
        <f>Mangueras!H138</f>
        <v>1</v>
      </c>
      <c r="G1200" t="str">
        <f>Mangueras!I138</f>
        <v>Unitario</v>
      </c>
      <c r="H1200">
        <f>IFERROR(IF(Mangueras!K138="",0,Mangueras!K138),0)</f>
        <v>0</v>
      </c>
      <c r="I1200" s="58" t="str">
        <f>IF(H1200&gt;0, MAX(I$1:I1199)+1, "")</f>
        <v/>
      </c>
    </row>
    <row r="1201" spans="1:9" x14ac:dyDescent="0.2">
      <c r="A1201" t="s">
        <v>30</v>
      </c>
      <c r="B1201" t="str">
        <f>Mangueras!A139</f>
        <v>Conducción Fluidos</v>
      </c>
      <c r="C1201" t="str">
        <f>Mangueras!B139</f>
        <v>MANGUERAS Y ACCESORIOS</v>
      </c>
      <c r="D1201">
        <f>Mangueras!F139</f>
        <v>90152</v>
      </c>
      <c r="E1201" t="str">
        <f>Mangueras!G139</f>
        <v>MANGUERA NIVEL LISA 1/2' SET 20MT</v>
      </c>
      <c r="F1201">
        <f>Mangueras!H139</f>
        <v>1</v>
      </c>
      <c r="G1201" t="str">
        <f>Mangueras!I139</f>
        <v>Unitario</v>
      </c>
      <c r="H1201">
        <f>IFERROR(IF(Mangueras!K139="",0,Mangueras!K139),0)</f>
        <v>0</v>
      </c>
      <c r="I1201" s="58" t="str">
        <f>IF(H1201&gt;0, MAX(I$1:I1200)+1, "")</f>
        <v/>
      </c>
    </row>
    <row r="1202" spans="1:9" x14ac:dyDescent="0.2">
      <c r="A1202" t="s">
        <v>30</v>
      </c>
      <c r="B1202" t="str">
        <f>Mangueras!A140</f>
        <v>Conducción Fluidos</v>
      </c>
      <c r="C1202" t="str">
        <f>Mangueras!B140</f>
        <v>MANGUERAS Y ACCESORIOS</v>
      </c>
      <c r="D1202">
        <f>Mangueras!F140</f>
        <v>90154</v>
      </c>
      <c r="E1202" t="str">
        <f>Mangueras!G140</f>
        <v>MANGUERA INDUSTRIAL TRANSP. 4MM  100MT</v>
      </c>
      <c r="F1202">
        <f>Mangueras!H140</f>
        <v>1</v>
      </c>
      <c r="G1202" t="str">
        <f>Mangueras!I140</f>
        <v>Unitario</v>
      </c>
      <c r="H1202">
        <f>IFERROR(IF(Mangueras!K140="",0,Mangueras!K140),0)</f>
        <v>0</v>
      </c>
      <c r="I1202" s="58" t="str">
        <f>IF(H1202&gt;0, MAX(I$1:I1201)+1, "")</f>
        <v/>
      </c>
    </row>
    <row r="1203" spans="1:9" x14ac:dyDescent="0.2">
      <c r="A1203" t="s">
        <v>30</v>
      </c>
      <c r="B1203" t="str">
        <f>Mangueras!A141</f>
        <v>Conducción Fluidos</v>
      </c>
      <c r="C1203" t="str">
        <f>Mangueras!B141</f>
        <v>MANGUERAS Y ACCESORIOS</v>
      </c>
      <c r="D1203">
        <f>Mangueras!F141</f>
        <v>90155</v>
      </c>
      <c r="E1203" t="str">
        <f>Mangueras!G141</f>
        <v>MANGUERA INDUSTRIAL TRANSP. 5MM  100MT</v>
      </c>
      <c r="F1203">
        <f>Mangueras!H141</f>
        <v>1</v>
      </c>
      <c r="G1203" t="str">
        <f>Mangueras!I141</f>
        <v>Unitario</v>
      </c>
      <c r="H1203">
        <f>IFERROR(IF(Mangueras!K141="",0,Mangueras!K141),0)</f>
        <v>0</v>
      </c>
      <c r="I1203" s="58" t="str">
        <f>IF(H1203&gt;0, MAX(I$1:I1202)+1, "")</f>
        <v/>
      </c>
    </row>
    <row r="1204" spans="1:9" x14ac:dyDescent="0.2">
      <c r="A1204" t="s">
        <v>30</v>
      </c>
      <c r="B1204" t="str">
        <f>Mangueras!A142</f>
        <v>Conducción Fluidos</v>
      </c>
      <c r="C1204" t="str">
        <f>Mangueras!B142</f>
        <v>MANGUERAS Y ACCESORIOS</v>
      </c>
      <c r="D1204">
        <f>Mangueras!F142</f>
        <v>90156</v>
      </c>
      <c r="E1204" t="str">
        <f>Mangueras!G142</f>
        <v>MANGUERA INDUSTRIAL TRANSP. 6MM  100MT</v>
      </c>
      <c r="F1204">
        <f>Mangueras!H142</f>
        <v>1</v>
      </c>
      <c r="G1204" t="str">
        <f>Mangueras!I142</f>
        <v>Unitario</v>
      </c>
      <c r="H1204">
        <f>IFERROR(IF(Mangueras!K142="",0,Mangueras!K142),0)</f>
        <v>0</v>
      </c>
      <c r="I1204" s="58" t="str">
        <f>IF(H1204&gt;0, MAX(I$1:I1203)+1, "")</f>
        <v/>
      </c>
    </row>
    <row r="1205" spans="1:9" x14ac:dyDescent="0.2">
      <c r="A1205" t="s">
        <v>30</v>
      </c>
      <c r="B1205" t="str">
        <f>Mangueras!A143</f>
        <v>Conducción Fluidos</v>
      </c>
      <c r="C1205" t="str">
        <f>Mangueras!B143</f>
        <v>MANGUERAS Y ACCESORIOS</v>
      </c>
      <c r="D1205">
        <f>Mangueras!F143</f>
        <v>90157</v>
      </c>
      <c r="E1205" t="str">
        <f>Mangueras!G143</f>
        <v>MANGUERA INDUSTRIAL TRANSP. 7MM  100MT</v>
      </c>
      <c r="F1205">
        <f>Mangueras!H143</f>
        <v>1</v>
      </c>
      <c r="G1205" t="str">
        <f>Mangueras!I143</f>
        <v>Unitario</v>
      </c>
      <c r="H1205">
        <f>IFERROR(IF(Mangueras!K143="",0,Mangueras!K143),0)</f>
        <v>0</v>
      </c>
      <c r="I1205" s="58" t="str">
        <f>IF(H1205&gt;0, MAX(I$1:I1204)+1, "")</f>
        <v/>
      </c>
    </row>
    <row r="1206" spans="1:9" x14ac:dyDescent="0.2">
      <c r="A1206" t="s">
        <v>30</v>
      </c>
      <c r="B1206" t="str">
        <f>Mangueras!A144</f>
        <v>Conducción Fluidos</v>
      </c>
      <c r="C1206" t="str">
        <f>Mangueras!B144</f>
        <v>MANGUERAS Y ACCESORIOS</v>
      </c>
      <c r="D1206">
        <f>Mangueras!F144</f>
        <v>90158</v>
      </c>
      <c r="E1206" t="str">
        <f>Mangueras!G144</f>
        <v>MANGUERA INDUSTRIAL TRANSP. 8MM  100MT</v>
      </c>
      <c r="F1206">
        <f>Mangueras!H144</f>
        <v>1</v>
      </c>
      <c r="G1206" t="str">
        <f>Mangueras!I144</f>
        <v>Unitario</v>
      </c>
      <c r="H1206">
        <f>IFERROR(IF(Mangueras!K144="",0,Mangueras!K144),0)</f>
        <v>0</v>
      </c>
      <c r="I1206" s="58" t="str">
        <f>IF(H1206&gt;0, MAX(I$1:I1205)+1, "")</f>
        <v/>
      </c>
    </row>
    <row r="1207" spans="1:9" x14ac:dyDescent="0.2">
      <c r="A1207" t="s">
        <v>30</v>
      </c>
      <c r="B1207" t="str">
        <f>Mangueras!A145</f>
        <v>Conducción Fluidos</v>
      </c>
      <c r="C1207" t="str">
        <f>Mangueras!B145</f>
        <v>MANGUERAS Y ACCESORIOS</v>
      </c>
      <c r="D1207">
        <f>Mangueras!F145</f>
        <v>90159</v>
      </c>
      <c r="E1207" t="str">
        <f>Mangueras!G145</f>
        <v>MANGUERA INDUSTRIAL TRANSP. 9MM  100MT</v>
      </c>
      <c r="F1207">
        <f>Mangueras!H145</f>
        <v>1</v>
      </c>
      <c r="G1207" t="str">
        <f>Mangueras!I145</f>
        <v>Unitario</v>
      </c>
      <c r="H1207">
        <f>IFERROR(IF(Mangueras!K145="",0,Mangueras!K145),0)</f>
        <v>0</v>
      </c>
      <c r="I1207" s="58" t="str">
        <f>IF(H1207&gt;0, MAX(I$1:I1206)+1, "")</f>
        <v/>
      </c>
    </row>
    <row r="1208" spans="1:9" x14ac:dyDescent="0.2">
      <c r="A1208" t="s">
        <v>30</v>
      </c>
      <c r="B1208" t="str">
        <f>Mangueras!A146</f>
        <v>Conducción Fluidos</v>
      </c>
      <c r="C1208" t="str">
        <f>Mangueras!B146</f>
        <v>MANGUERAS Y ACCESORIOS</v>
      </c>
      <c r="D1208">
        <f>Mangueras!F146</f>
        <v>90160</v>
      </c>
      <c r="E1208" t="str">
        <f>Mangueras!G146</f>
        <v>MANGUERA INDUSTRIAL TRANSP. 10MM  100MT</v>
      </c>
      <c r="F1208">
        <f>Mangueras!H146</f>
        <v>1</v>
      </c>
      <c r="G1208" t="str">
        <f>Mangueras!I146</f>
        <v>Unitario</v>
      </c>
      <c r="H1208">
        <f>IFERROR(IF(Mangueras!K146="",0,Mangueras!K146),0)</f>
        <v>0</v>
      </c>
      <c r="I1208" s="58" t="str">
        <f>IF(H1208&gt;0, MAX(I$1:I1207)+1, "")</f>
        <v/>
      </c>
    </row>
    <row r="1209" spans="1:9" x14ac:dyDescent="0.2">
      <c r="A1209" t="s">
        <v>30</v>
      </c>
      <c r="B1209" t="str">
        <f>Mangueras!A147</f>
        <v>Conducción Fluidos</v>
      </c>
      <c r="C1209" t="str">
        <f>Mangueras!B147</f>
        <v>MANGUERAS Y ACCESORIOS</v>
      </c>
      <c r="D1209">
        <f>Mangueras!F147</f>
        <v>90161</v>
      </c>
      <c r="E1209" t="str">
        <f>Mangueras!G147</f>
        <v>MANGUERA INDUSTRIAL AMARILLA 3MM  100MT</v>
      </c>
      <c r="F1209">
        <f>Mangueras!H147</f>
        <v>1</v>
      </c>
      <c r="G1209" t="str">
        <f>Mangueras!I147</f>
        <v>Unitario</v>
      </c>
      <c r="H1209">
        <f>IFERROR(IF(Mangueras!K147="",0,Mangueras!K147),0)</f>
        <v>0</v>
      </c>
      <c r="I1209" s="58" t="str">
        <f>IF(H1209&gt;0, MAX(I$1:I1208)+1, "")</f>
        <v/>
      </c>
    </row>
    <row r="1210" spans="1:9" x14ac:dyDescent="0.2">
      <c r="A1210" t="s">
        <v>30</v>
      </c>
      <c r="B1210" t="str">
        <f>Mangueras!A148</f>
        <v>Conducción Fluidos</v>
      </c>
      <c r="C1210" t="str">
        <f>Mangueras!B148</f>
        <v>MANGUERAS Y ACCESORIOS</v>
      </c>
      <c r="D1210">
        <f>Mangueras!F148</f>
        <v>90162</v>
      </c>
      <c r="E1210" t="str">
        <f>Mangueras!G148</f>
        <v>MANGUERA INDUSTRIAL AMARILLA 4MM  100MT</v>
      </c>
      <c r="F1210">
        <f>Mangueras!H148</f>
        <v>1</v>
      </c>
      <c r="G1210" t="str">
        <f>Mangueras!I148</f>
        <v>Unitario</v>
      </c>
      <c r="H1210">
        <f>IFERROR(IF(Mangueras!K148="",0,Mangueras!K148),0)</f>
        <v>0</v>
      </c>
      <c r="I1210" s="58" t="str">
        <f>IF(H1210&gt;0, MAX(I$1:I1209)+1, "")</f>
        <v/>
      </c>
    </row>
    <row r="1211" spans="1:9" x14ac:dyDescent="0.2">
      <c r="A1211" t="s">
        <v>30</v>
      </c>
      <c r="B1211" t="str">
        <f>Mangueras!A149</f>
        <v>Conducción Fluidos</v>
      </c>
      <c r="C1211" t="str">
        <f>Mangueras!B149</f>
        <v>MANGUERAS Y ACCESORIOS</v>
      </c>
      <c r="D1211">
        <f>Mangueras!F149</f>
        <v>90163</v>
      </c>
      <c r="E1211" t="str">
        <f>Mangueras!G149</f>
        <v>MANGUERA INDUSTRIAL AMARILLA 5MM  100MT</v>
      </c>
      <c r="F1211">
        <f>Mangueras!H149</f>
        <v>1</v>
      </c>
      <c r="G1211" t="str">
        <f>Mangueras!I149</f>
        <v>Unitario</v>
      </c>
      <c r="H1211">
        <f>IFERROR(IF(Mangueras!K149="",0,Mangueras!K149),0)</f>
        <v>0</v>
      </c>
      <c r="I1211" s="58" t="str">
        <f>IF(H1211&gt;0, MAX(I$1:I1210)+1, "")</f>
        <v/>
      </c>
    </row>
    <row r="1212" spans="1:9" x14ac:dyDescent="0.2">
      <c r="A1212" t="s">
        <v>30</v>
      </c>
      <c r="B1212" t="str">
        <f>Mangueras!A150</f>
        <v>Conducción Fluidos</v>
      </c>
      <c r="C1212" t="str">
        <f>Mangueras!B150</f>
        <v>MANGUERAS Y ACCESORIOS</v>
      </c>
      <c r="D1212">
        <f>Mangueras!F150</f>
        <v>90164</v>
      </c>
      <c r="E1212" t="str">
        <f>Mangueras!G150</f>
        <v>MANGUERA INDUSTRIAL AMARILLA 6MM  100MT</v>
      </c>
      <c r="F1212">
        <f>Mangueras!H150</f>
        <v>1</v>
      </c>
      <c r="G1212" t="str">
        <f>Mangueras!I150</f>
        <v>Unitario</v>
      </c>
      <c r="H1212">
        <f>IFERROR(IF(Mangueras!K150="",0,Mangueras!K150),0)</f>
        <v>0</v>
      </c>
      <c r="I1212" s="58" t="str">
        <f>IF(H1212&gt;0, MAX(I$1:I1211)+1, "")</f>
        <v/>
      </c>
    </row>
    <row r="1213" spans="1:9" x14ac:dyDescent="0.2">
      <c r="A1213" t="s">
        <v>30</v>
      </c>
      <c r="B1213" t="str">
        <f>Mangueras!A151</f>
        <v>Conducción Fluidos</v>
      </c>
      <c r="C1213" t="str">
        <f>Mangueras!B151</f>
        <v>MANGUERAS Y ACCESORIOS</v>
      </c>
      <c r="D1213">
        <f>Mangueras!F151</f>
        <v>90165</v>
      </c>
      <c r="E1213" t="str">
        <f>Mangueras!G151</f>
        <v>MANGUERA INDUSTRIAL AMARILLA 7MM  100MT</v>
      </c>
      <c r="F1213">
        <f>Mangueras!H151</f>
        <v>1</v>
      </c>
      <c r="G1213" t="str">
        <f>Mangueras!I151</f>
        <v>Unitario</v>
      </c>
      <c r="H1213">
        <f>IFERROR(IF(Mangueras!K151="",0,Mangueras!K151),0)</f>
        <v>0</v>
      </c>
      <c r="I1213" s="58" t="str">
        <f>IF(H1213&gt;0, MAX(I$1:I1212)+1, "")</f>
        <v/>
      </c>
    </row>
    <row r="1214" spans="1:9" x14ac:dyDescent="0.2">
      <c r="A1214" t="s">
        <v>30</v>
      </c>
      <c r="B1214" t="str">
        <f>Mangueras!A152</f>
        <v>Conducción Fluidos</v>
      </c>
      <c r="C1214" t="str">
        <f>Mangueras!B152</f>
        <v>MANGUERAS Y ACCESORIOS</v>
      </c>
      <c r="D1214">
        <f>Mangueras!F152</f>
        <v>90166</v>
      </c>
      <c r="E1214" t="str">
        <f>Mangueras!G152</f>
        <v>MANGUERA INDUSTRIAL AMARILLA 8MM  100MT</v>
      </c>
      <c r="F1214">
        <f>Mangueras!H152</f>
        <v>1</v>
      </c>
      <c r="G1214" t="str">
        <f>Mangueras!I152</f>
        <v>Unitario</v>
      </c>
      <c r="H1214">
        <f>IFERROR(IF(Mangueras!K152="",0,Mangueras!K152),0)</f>
        <v>0</v>
      </c>
      <c r="I1214" s="58" t="str">
        <f>IF(H1214&gt;0, MAX(I$1:I1213)+1, "")</f>
        <v/>
      </c>
    </row>
    <row r="1215" spans="1:9" x14ac:dyDescent="0.2">
      <c r="A1215" t="s">
        <v>30</v>
      </c>
      <c r="B1215" t="str">
        <f>Mangueras!A153</f>
        <v>Conducción Fluidos</v>
      </c>
      <c r="C1215" t="str">
        <f>Mangueras!B153</f>
        <v>MANGUERAS Y ACCESORIOS</v>
      </c>
      <c r="D1215">
        <f>Mangueras!F153</f>
        <v>90167</v>
      </c>
      <c r="E1215" t="str">
        <f>Mangueras!G153</f>
        <v>MANGUERA INDUSTRIAL AMARILLA 9MM  100MT</v>
      </c>
      <c r="F1215">
        <f>Mangueras!H153</f>
        <v>1</v>
      </c>
      <c r="G1215" t="str">
        <f>Mangueras!I153</f>
        <v>Unitario</v>
      </c>
      <c r="H1215">
        <f>IFERROR(IF(Mangueras!K153="",0,Mangueras!K153),0)</f>
        <v>0</v>
      </c>
      <c r="I1215" s="58" t="str">
        <f>IF(H1215&gt;0, MAX(I$1:I1214)+1, "")</f>
        <v/>
      </c>
    </row>
    <row r="1216" spans="1:9" x14ac:dyDescent="0.2">
      <c r="A1216" t="s">
        <v>30</v>
      </c>
      <c r="B1216" t="str">
        <f>Mangueras!A154</f>
        <v>Conducción Fluidos</v>
      </c>
      <c r="C1216" t="str">
        <f>Mangueras!B154</f>
        <v>MANGUERAS Y ACCESORIOS</v>
      </c>
      <c r="D1216">
        <f>Mangueras!F154</f>
        <v>90168</v>
      </c>
      <c r="E1216" t="str">
        <f>Mangueras!G154</f>
        <v>MANGUERA INDUSTRIAL AMARILLA 10MM  100MT</v>
      </c>
      <c r="F1216">
        <f>Mangueras!H154</f>
        <v>1</v>
      </c>
      <c r="G1216" t="str">
        <f>Mangueras!I154</f>
        <v>Unitario</v>
      </c>
      <c r="H1216">
        <f>IFERROR(IF(Mangueras!K154="",0,Mangueras!K154),0)</f>
        <v>0</v>
      </c>
      <c r="I1216" s="58" t="str">
        <f>IF(H1216&gt;0, MAX(I$1:I1215)+1, "")</f>
        <v/>
      </c>
    </row>
    <row r="1217" spans="1:9" x14ac:dyDescent="0.2">
      <c r="A1217" t="s">
        <v>30</v>
      </c>
      <c r="B1217" t="str">
        <f>Mangueras!A155</f>
        <v>Conducción Fluidos</v>
      </c>
      <c r="C1217" t="str">
        <f>Mangueras!B155</f>
        <v>MANGUERAS Y ACCESORIOS</v>
      </c>
      <c r="D1217">
        <f>Mangueras!F155</f>
        <v>90169</v>
      </c>
      <c r="E1217" t="str">
        <f>Mangueras!G155</f>
        <v>MICROTUBO 3,5MM  100MT</v>
      </c>
      <c r="F1217">
        <f>Mangueras!H155</f>
        <v>1</v>
      </c>
      <c r="G1217" t="str">
        <f>Mangueras!I155</f>
        <v>Unitario</v>
      </c>
      <c r="H1217">
        <f>IFERROR(IF(Mangueras!K155="",0,Mangueras!K155),0)</f>
        <v>0</v>
      </c>
      <c r="I1217" s="58" t="str">
        <f>IF(H1217&gt;0, MAX(I$1:I1216)+1, "")</f>
        <v/>
      </c>
    </row>
    <row r="1218" spans="1:9" x14ac:dyDescent="0.2">
      <c r="A1218" t="s">
        <v>30</v>
      </c>
      <c r="B1218" t="str">
        <f>Mangueras!A156</f>
        <v>Conducción Fluidos</v>
      </c>
      <c r="C1218" t="str">
        <f>Mangueras!B156</f>
        <v>MANGUERAS Y ACCESORIOS</v>
      </c>
      <c r="D1218">
        <f>Mangueras!F156</f>
        <v>90170</v>
      </c>
      <c r="E1218" t="str">
        <f>Mangueras!G156</f>
        <v>MICROTUBO 4MM  100MT</v>
      </c>
      <c r="F1218">
        <f>Mangueras!H156</f>
        <v>1</v>
      </c>
      <c r="G1218" t="str">
        <f>Mangueras!I156</f>
        <v>Unitario</v>
      </c>
      <c r="H1218">
        <f>IFERROR(IF(Mangueras!K156="",0,Mangueras!K156),0)</f>
        <v>0</v>
      </c>
      <c r="I1218" s="58" t="str">
        <f>IF(H1218&gt;0, MAX(I$1:I1217)+1, "")</f>
        <v/>
      </c>
    </row>
    <row r="1219" spans="1:9" x14ac:dyDescent="0.2">
      <c r="A1219" t="s">
        <v>30</v>
      </c>
      <c r="B1219" t="str">
        <f>Mangueras!A157</f>
        <v>Conducción Fluidos</v>
      </c>
      <c r="C1219" t="str">
        <f>Mangueras!B157</f>
        <v>MANGUERAS Y ACCESORIOS</v>
      </c>
      <c r="D1219">
        <f>Mangueras!F157</f>
        <v>90171</v>
      </c>
      <c r="E1219" t="str">
        <f>Mangueras!G157</f>
        <v>MANGUERA BUZO UNICAPA AMARILLA 9MM 100MT</v>
      </c>
      <c r="F1219">
        <f>Mangueras!H157</f>
        <v>1</v>
      </c>
      <c r="G1219" t="str">
        <f>Mangueras!I157</f>
        <v>Unitario</v>
      </c>
      <c r="H1219">
        <f>IFERROR(IF(Mangueras!K157="",0,Mangueras!K157),0)</f>
        <v>0</v>
      </c>
      <c r="I1219" s="58" t="str">
        <f>IF(H1219&gt;0, MAX(I$1:I1218)+1, "")</f>
        <v/>
      </c>
    </row>
    <row r="1220" spans="1:9" x14ac:dyDescent="0.2">
      <c r="A1220" t="s">
        <v>30</v>
      </c>
      <c r="B1220" t="str">
        <f>Mangueras!A158</f>
        <v>Conducción Fluidos</v>
      </c>
      <c r="C1220" t="str">
        <f>Mangueras!B158</f>
        <v>MANGUERAS Y ACCESORIOS</v>
      </c>
      <c r="D1220">
        <f>Mangueras!F158</f>
        <v>90172</v>
      </c>
      <c r="E1220" t="str">
        <f>Mangueras!G158</f>
        <v>MANGUERA BUZO MALLA NARANJA 9MM 100MT</v>
      </c>
      <c r="F1220">
        <f>Mangueras!H158</f>
        <v>1</v>
      </c>
      <c r="G1220" t="str">
        <f>Mangueras!I158</f>
        <v>Unitario</v>
      </c>
      <c r="H1220">
        <f>IFERROR(IF(Mangueras!K158="",0,Mangueras!K158),0)</f>
        <v>0</v>
      </c>
      <c r="I1220" s="58" t="str">
        <f>IF(H1220&gt;0, MAX(I$1:I1219)+1, "")</f>
        <v/>
      </c>
    </row>
    <row r="1221" spans="1:9" x14ac:dyDescent="0.2">
      <c r="A1221" t="s">
        <v>31</v>
      </c>
      <c r="B1221" t="str">
        <f>Bombas!A3</f>
        <v>BOMBAS</v>
      </c>
      <c r="C1221" t="str">
        <f>Bombas!B3</f>
        <v>BOMBAS Y ACCESORIOS</v>
      </c>
      <c r="D1221">
        <f>Bombas!F3</f>
        <v>80001</v>
      </c>
      <c r="E1221" t="str">
        <f>Bombas!G3</f>
        <v>BOMBA CENTRIFUGA 1HP 1' X 1' BTCM 158-CE</v>
      </c>
      <c r="F1221">
        <f>Bombas!H3</f>
        <v>1</v>
      </c>
      <c r="G1221" t="str">
        <f>Bombas!I3</f>
        <v>Unitario</v>
      </c>
      <c r="H1221">
        <f>IFERROR(IF(Bombas!Q3="",0,Bombas!Q3),0)</f>
        <v>0</v>
      </c>
      <c r="I1221" s="58" t="str">
        <f>IF(H1221&gt;0, MAX(I$1:I1220)+1, "")</f>
        <v/>
      </c>
    </row>
    <row r="1222" spans="1:9" x14ac:dyDescent="0.2">
      <c r="A1222" t="s">
        <v>31</v>
      </c>
      <c r="B1222" t="str">
        <f>Bombas!A4</f>
        <v>BOMBAS</v>
      </c>
      <c r="C1222" t="str">
        <f>Bombas!B4</f>
        <v>BOMBAS Y ACCESORIOS</v>
      </c>
      <c r="D1222">
        <f>Bombas!F4</f>
        <v>80002</v>
      </c>
      <c r="E1222" t="str">
        <f>Bombas!G4</f>
        <v>BOMBA CENTRIFUGA 1HP  2' X 2' BTCM 75B2</v>
      </c>
      <c r="F1222">
        <f>Bombas!H4</f>
        <v>1</v>
      </c>
      <c r="G1222" t="str">
        <f>Bombas!I4</f>
        <v>Unitario</v>
      </c>
      <c r="H1222">
        <f>IFERROR(IF(Bombas!Q4="",0,Bombas!Q4),0)</f>
        <v>0</v>
      </c>
      <c r="I1222" s="58" t="str">
        <f>IF(H1222&gt;0, MAX(I$1:I1221)+1, "")</f>
        <v/>
      </c>
    </row>
    <row r="1223" spans="1:9" x14ac:dyDescent="0.2">
      <c r="A1223" t="s">
        <v>31</v>
      </c>
      <c r="B1223" t="str">
        <f>Bombas!A5</f>
        <v>BOMBAS</v>
      </c>
      <c r="C1223" t="str">
        <f>Bombas!B5</f>
        <v>BOMBAS Y ACCESORIOS</v>
      </c>
      <c r="D1223">
        <f>Bombas!F5</f>
        <v>80003</v>
      </c>
      <c r="E1223" t="str">
        <f>Bombas!G5</f>
        <v>BOMBA CENTRIFUGA 1.5HP  BTCM 110</v>
      </c>
      <c r="F1223">
        <f>Bombas!H5</f>
        <v>1</v>
      </c>
      <c r="G1223" t="str">
        <f>Bombas!I5</f>
        <v>Unitario</v>
      </c>
      <c r="H1223">
        <f>IFERROR(IF(Bombas!Q5="",0,Bombas!Q5),0)</f>
        <v>0</v>
      </c>
      <c r="I1223" s="58" t="str">
        <f>IF(H1223&gt;0, MAX(I$1:I1222)+1, "")</f>
        <v/>
      </c>
    </row>
    <row r="1224" spans="1:9" x14ac:dyDescent="0.2">
      <c r="A1224" t="s">
        <v>31</v>
      </c>
      <c r="B1224" t="str">
        <f>Bombas!A6</f>
        <v>BOMBAS</v>
      </c>
      <c r="C1224" t="str">
        <f>Bombas!B6</f>
        <v>BOMBAS Y ACCESORIOS</v>
      </c>
      <c r="D1224">
        <f>Bombas!F6</f>
        <v>80004</v>
      </c>
      <c r="E1224" t="str">
        <f>Bombas!G6</f>
        <v>BOMBA PERIFERICA 1HP 1' X 1' BTPM 75</v>
      </c>
      <c r="F1224">
        <f>Bombas!H6</f>
        <v>1</v>
      </c>
      <c r="G1224" t="str">
        <f>Bombas!I6</f>
        <v>Unitario</v>
      </c>
      <c r="H1224">
        <f>IFERROR(IF(Bombas!Q6="",0,Bombas!Q6),0)</f>
        <v>0</v>
      </c>
      <c r="I1224" s="58" t="str">
        <f>IF(H1224&gt;0, MAX(I$1:I1223)+1, "")</f>
        <v/>
      </c>
    </row>
    <row r="1225" spans="1:9" x14ac:dyDescent="0.2">
      <c r="A1225" t="s">
        <v>31</v>
      </c>
      <c r="B1225" t="str">
        <f>Bombas!A7</f>
        <v>BOMBAS</v>
      </c>
      <c r="C1225" t="str">
        <f>Bombas!B7</f>
        <v>BOMBAS Y ACCESORIOS</v>
      </c>
      <c r="D1225">
        <f>Bombas!F7</f>
        <v>80005</v>
      </c>
      <c r="E1225" t="str">
        <f>Bombas!G7</f>
        <v>BOMBA PERIFERICA 0.5HP BTPM 37-CE</v>
      </c>
      <c r="F1225">
        <f>Bombas!H7</f>
        <v>1</v>
      </c>
      <c r="G1225" t="str">
        <f>Bombas!I7</f>
        <v>Unitario</v>
      </c>
      <c r="H1225">
        <f>IFERROR(IF(Bombas!Q7="",0,Bombas!Q7),0)</f>
        <v>0</v>
      </c>
      <c r="I1225" s="58" t="str">
        <f>IF(H1225&gt;0, MAX(I$1:I1224)+1, "")</f>
        <v/>
      </c>
    </row>
    <row r="1226" spans="1:9" x14ac:dyDescent="0.2">
      <c r="A1226" t="s">
        <v>31</v>
      </c>
      <c r="B1226" t="str">
        <f>Bombas!A8</f>
        <v>BOMBAS</v>
      </c>
      <c r="C1226" t="str">
        <f>Bombas!B8</f>
        <v>BOMBAS Y ACCESORIOS</v>
      </c>
      <c r="D1226">
        <f>Bombas!F8</f>
        <v>80006</v>
      </c>
      <c r="E1226" t="str">
        <f>Bombas!G8</f>
        <v xml:space="preserve">BOMBA SUMERGIBLE 1HP CBLE30MT 4SSM 4/10 </v>
      </c>
      <c r="F1226">
        <f>Bombas!H8</f>
        <v>1</v>
      </c>
      <c r="G1226" t="str">
        <f>Bombas!I8</f>
        <v>Unitario</v>
      </c>
      <c r="H1226">
        <f>IFERROR(IF(Bombas!Q8="",0,Bombas!Q8),0)</f>
        <v>0</v>
      </c>
      <c r="I1226" s="58" t="str">
        <f>IF(H1226&gt;0, MAX(I$1:I1225)+1, "")</f>
        <v/>
      </c>
    </row>
    <row r="1227" spans="1:9" x14ac:dyDescent="0.2">
      <c r="A1227" t="s">
        <v>31</v>
      </c>
      <c r="B1227" t="str">
        <f>Bombas!A9</f>
        <v>BOMBAS</v>
      </c>
      <c r="C1227" t="str">
        <f>Bombas!B9</f>
        <v>BOMBAS Y ACCESORIOS</v>
      </c>
      <c r="D1227">
        <f>Bombas!F9</f>
        <v>80007</v>
      </c>
      <c r="E1227" t="str">
        <f>Bombas!G9</f>
        <v>BOMBA SUMERGIBLE 0.75HP BSK-VP 750/G</v>
      </c>
      <c r="F1227">
        <f>Bombas!H9</f>
        <v>1</v>
      </c>
      <c r="G1227" t="str">
        <f>Bombas!I9</f>
        <v>Unitario</v>
      </c>
      <c r="H1227">
        <f>IFERROR(IF(Bombas!Q9="",0,Bombas!Q9),0)</f>
        <v>0</v>
      </c>
      <c r="I1227" s="58" t="str">
        <f>IF(H1227&gt;0, MAX(I$1:I1226)+1, "")</f>
        <v/>
      </c>
    </row>
    <row r="1228" spans="1:9" x14ac:dyDescent="0.2">
      <c r="A1228" t="s">
        <v>31</v>
      </c>
      <c r="B1228" t="str">
        <f>Bombas!A10</f>
        <v>BOMBAS</v>
      </c>
      <c r="C1228" t="str">
        <f>Bombas!B10</f>
        <v>BOMBAS Y ACCESORIOS</v>
      </c>
      <c r="D1228">
        <f>Bombas!F10</f>
        <v>80008</v>
      </c>
      <c r="E1228" t="str">
        <f>Bombas!G10</f>
        <v>BOMBA PRESURIZADA  1' X 1' RSCE 12/9G</v>
      </c>
      <c r="F1228">
        <f>Bombas!H10</f>
        <v>1</v>
      </c>
      <c r="G1228" t="str">
        <f>Bombas!I10</f>
        <v>Unitario</v>
      </c>
      <c r="H1228">
        <f>IFERROR(IF(Bombas!Q10="",0,Bombas!Q10),0)</f>
        <v>0</v>
      </c>
      <c r="I1228" s="58" t="str">
        <f>IF(H1228&gt;0, MAX(I$1:I1227)+1, "")</f>
        <v/>
      </c>
    </row>
    <row r="1229" spans="1:9" x14ac:dyDescent="0.2">
      <c r="A1229" t="s">
        <v>31</v>
      </c>
      <c r="B1229" t="str">
        <f>Bombas!A11</f>
        <v>BOMBAS</v>
      </c>
      <c r="C1229" t="str">
        <f>Bombas!B11</f>
        <v>BOMBAS Y ACCESORIOS</v>
      </c>
      <c r="D1229">
        <f>Bombas!F11</f>
        <v>80009</v>
      </c>
      <c r="E1229" t="str">
        <f>Bombas!G11</f>
        <v>BOMBA PRESURIZADA 1 1/4'  RSCE20/12Z</v>
      </c>
      <c r="F1229">
        <f>Bombas!H11</f>
        <v>1</v>
      </c>
      <c r="G1229" t="str">
        <f>Bombas!I11</f>
        <v>Unitario</v>
      </c>
      <c r="H1229">
        <f>IFERROR(IF(Bombas!Q11="",0,Bombas!Q11),0)</f>
        <v>0</v>
      </c>
      <c r="I1229" s="58" t="str">
        <f>IF(H1229&gt;0, MAX(I$1:I1228)+1, "")</f>
        <v/>
      </c>
    </row>
    <row r="1230" spans="1:9" x14ac:dyDescent="0.2">
      <c r="A1230" t="s">
        <v>31</v>
      </c>
      <c r="B1230" t="str">
        <f>Bombas!A12</f>
        <v>BOMBAS</v>
      </c>
      <c r="C1230" t="str">
        <f>Bombas!B12</f>
        <v>BOMBAS Y ACCESORIOS</v>
      </c>
      <c r="D1230">
        <f>Bombas!F12</f>
        <v>80010</v>
      </c>
      <c r="E1230" t="str">
        <f>Bombas!G12</f>
        <v>BOMBA PRESURIZADA  1' X 1' RS12/9G</v>
      </c>
      <c r="F1230">
        <f>Bombas!H12</f>
        <v>1</v>
      </c>
      <c r="G1230" t="str">
        <f>Bombas!I12</f>
        <v>Unitario</v>
      </c>
      <c r="H1230">
        <f>IFERROR(IF(Bombas!Q12="",0,Bombas!Q12),0)</f>
        <v>0</v>
      </c>
      <c r="I1230" s="58" t="str">
        <f>IF(H1230&gt;0, MAX(I$1:I1229)+1, "")</f>
        <v/>
      </c>
    </row>
    <row r="1231" spans="1:9" x14ac:dyDescent="0.2">
      <c r="A1231" t="s">
        <v>31</v>
      </c>
      <c r="B1231" t="str">
        <f>Bombas!A13</f>
        <v>BOMBAS</v>
      </c>
      <c r="C1231" t="str">
        <f>Bombas!B13</f>
        <v>BOMBAS Y ACCESORIOS</v>
      </c>
      <c r="D1231">
        <f>Bombas!F13</f>
        <v>80011</v>
      </c>
      <c r="E1231" t="str">
        <f>Bombas!G13</f>
        <v>BOMBA PRESURIZADA 1 1/4' RS20/12Z</v>
      </c>
      <c r="F1231">
        <f>Bombas!H13</f>
        <v>1</v>
      </c>
      <c r="G1231" t="str">
        <f>Bombas!I13</f>
        <v>Unitario</v>
      </c>
      <c r="H1231">
        <f>IFERROR(IF(Bombas!Q13="",0,Bombas!Q13),0)</f>
        <v>0</v>
      </c>
      <c r="I1231" s="58" t="str">
        <f>IF(H1231&gt;0, MAX(I$1:I1230)+1, "")</f>
        <v/>
      </c>
    </row>
    <row r="1232" spans="1:9" x14ac:dyDescent="0.2">
      <c r="A1232" t="s">
        <v>31</v>
      </c>
      <c r="B1232" t="str">
        <f>Bombas!A14</f>
        <v>BOMBAS</v>
      </c>
      <c r="C1232" t="str">
        <f>Bombas!B14</f>
        <v>BOMBAS Y ACCESORIOS</v>
      </c>
      <c r="D1232">
        <f>Bombas!F14</f>
        <v>80012</v>
      </c>
      <c r="E1232" t="str">
        <f>Bombas!G14</f>
        <v>CONTROLADO PRESIÓN CONTROLPUMP BESTOFLOW</v>
      </c>
      <c r="F1232">
        <f>Bombas!H14</f>
        <v>1</v>
      </c>
      <c r="G1232" t="str">
        <f>Bombas!I14</f>
        <v>Unitario</v>
      </c>
      <c r="H1232">
        <f>IFERROR(IF(Bombas!Q14="",0,Bombas!Q14),0)</f>
        <v>0</v>
      </c>
      <c r="I1232" s="58" t="str">
        <f>IF(H1232&gt;0, MAX(I$1:I1231)+1, "")</f>
        <v/>
      </c>
    </row>
    <row r="1233" spans="1:9" x14ac:dyDescent="0.2">
      <c r="A1233" t="s">
        <v>31</v>
      </c>
      <c r="B1233" t="str">
        <f>Bombas!A15</f>
        <v>BOMBAS</v>
      </c>
      <c r="C1233" t="str">
        <f>Bombas!B15</f>
        <v>BOMBAS Y ACCESORIOS</v>
      </c>
      <c r="D1233">
        <f>Bombas!F15</f>
        <v>80013</v>
      </c>
      <c r="E1233" t="str">
        <f>Bombas!G15</f>
        <v>CONTROLADOR PRESIÓN PRESSPUMP BESTFLOW</v>
      </c>
      <c r="F1233">
        <f>Bombas!H15</f>
        <v>1</v>
      </c>
      <c r="G1233" t="str">
        <f>Bombas!I15</f>
        <v>Unitario</v>
      </c>
      <c r="H1233">
        <f>IFERROR(IF(Bombas!Q15="",0,Bombas!Q15),0)</f>
        <v>0</v>
      </c>
      <c r="I1233" s="58" t="str">
        <f>IF(H1233&gt;0, MAX(I$1:I1232)+1, "")</f>
        <v/>
      </c>
    </row>
    <row r="1234" spans="1:9" x14ac:dyDescent="0.2">
      <c r="A1234" t="s">
        <v>31</v>
      </c>
      <c r="B1234" t="str">
        <f>Bombas!A16</f>
        <v>BOMBAS</v>
      </c>
      <c r="C1234" t="str">
        <f>Bombas!B16</f>
        <v>BOMBAS Y ACCESORIOS</v>
      </c>
      <c r="D1234">
        <f>Bombas!F16</f>
        <v>80014</v>
      </c>
      <c r="E1234" t="str">
        <f>Bombas!G16</f>
        <v>HIDRONEUMATICO KIT 24LT. BESTFLOW FSG-2</v>
      </c>
      <c r="F1234">
        <f>Bombas!H16</f>
        <v>1</v>
      </c>
      <c r="G1234" t="str">
        <f>Bombas!I16</f>
        <v>Unitario</v>
      </c>
      <c r="H1234">
        <f>IFERROR(IF(Bombas!Q16="",0,Bombas!Q16),0)</f>
        <v>0</v>
      </c>
      <c r="I1234" s="58" t="str">
        <f>IF(H1234&gt;0, MAX(I$1:I1233)+1, "")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RESUMEN COTIZACIÓN</vt:lpstr>
      <vt:lpstr>Menú por Categoría</vt:lpstr>
      <vt:lpstr>Lista Cliente TOP todos prod.</vt:lpstr>
      <vt:lpstr>PVC Conduit y Libre Halógeno</vt:lpstr>
      <vt:lpstr>PPRCT</vt:lpstr>
      <vt:lpstr>PPR</vt:lpstr>
      <vt:lpstr>Adhes. Lubric Teflón</vt:lpstr>
      <vt:lpstr>PVC Sanit Gris</vt:lpstr>
      <vt:lpstr>PVC Gris Oscuro No Certif.</vt:lpstr>
      <vt:lpstr>PVC Colector</vt:lpstr>
      <vt:lpstr>PVC Sanit Blanco</vt:lpstr>
      <vt:lpstr>PVC Presión</vt:lpstr>
      <vt:lpstr>Inst. Baño y Cocina</vt:lpstr>
      <vt:lpstr>Canaletas Techo</vt:lpstr>
      <vt:lpstr>Riego</vt:lpstr>
      <vt:lpstr>Mangueras</vt:lpstr>
      <vt:lpstr>Bombas</vt:lpstr>
      <vt:lpstr>_Datos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Russell</dc:creator>
  <cp:lastModifiedBy>assetplan</cp:lastModifiedBy>
  <cp:revision>0</cp:revision>
  <dcterms:created xsi:type="dcterms:W3CDTF">2026-01-22T14:56:39Z</dcterms:created>
  <dcterms:modified xsi:type="dcterms:W3CDTF">2026-05-05T12:30:30Z</dcterms:modified>
  <dc:language>en-US</dc:language>
</cp:coreProperties>
</file>